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19200" windowHeight="11790" activeTab="0"/>
  </bookViews>
  <sheets>
    <sheet name="BASE CASE-Simple" sheetId="1" r:id="rId1"/>
    <sheet name="#1-Cattle Scale" sheetId="2" r:id="rId2"/>
    <sheet name="#2-Precision NH3-Exactrix" sheetId="3" r:id="rId3"/>
    <sheet name="#3-RTK guidance" sheetId="4" r:id="rId4"/>
    <sheet name="#4 FC-VC 60-40" sheetId="5" r:id="rId5"/>
    <sheet name="#4 +1cow" sheetId="6" r:id="rId6"/>
    <sheet name="Detailed" sheetId="7" r:id="rId7"/>
  </sheets>
  <definedNames>
    <definedName name="_xlnm.Print_Area" localSheetId="1">'#1-Cattle Scale'!$B$1:$W$57</definedName>
    <definedName name="_xlnm.Print_Area" localSheetId="2">'#2-Precision NH3-Exactrix'!$B$1:$W$57</definedName>
    <definedName name="_xlnm.Print_Area" localSheetId="3">'#3-RTK guidance'!$B$1:$W$57</definedName>
    <definedName name="_xlnm.Print_Area" localSheetId="0">'BASE CASE-Simple'!$B$1:$W$57</definedName>
    <definedName name="_xlnm.Print_Area" localSheetId="6">'Detailed'!$B$1:$AL$55</definedName>
  </definedNames>
  <calcPr fullCalcOnLoad="1"/>
</workbook>
</file>

<file path=xl/sharedStrings.xml><?xml version="1.0" encoding="utf-8"?>
<sst xmlns="http://schemas.openxmlformats.org/spreadsheetml/2006/main" count="481" uniqueCount="130">
  <si>
    <t>multiplied by</t>
  </si>
  <si>
    <t>divided into</t>
  </si>
  <si>
    <t>divided by</t>
  </si>
  <si>
    <t>plus</t>
  </si>
  <si>
    <t>Cash</t>
  </si>
  <si>
    <t>Breed stock</t>
  </si>
  <si>
    <t>Notes pay.</t>
  </si>
  <si>
    <t>Crop inv.</t>
  </si>
  <si>
    <t>Machinery</t>
  </si>
  <si>
    <t>Accrued int.</t>
  </si>
  <si>
    <t>Mortg. pay.</t>
  </si>
  <si>
    <t>Real estate</t>
  </si>
  <si>
    <t>Current port.</t>
  </si>
  <si>
    <t>Deferred tax</t>
  </si>
  <si>
    <t>Receivables</t>
  </si>
  <si>
    <t>Buildings</t>
  </si>
  <si>
    <t>Taxes pay.</t>
  </si>
  <si>
    <t>Other</t>
  </si>
  <si>
    <t>Total</t>
  </si>
  <si>
    <t>Revenue</t>
  </si>
  <si>
    <t>Crop</t>
  </si>
  <si>
    <t>Bushels</t>
  </si>
  <si>
    <t>$/Bushel</t>
  </si>
  <si>
    <t>Livestock</t>
  </si>
  <si>
    <t>Head</t>
  </si>
  <si>
    <t>Weight</t>
  </si>
  <si>
    <t>$/Cwt</t>
  </si>
  <si>
    <t>Other revenue</t>
  </si>
  <si>
    <t>Operating expenses</t>
  </si>
  <si>
    <t>Net farm income from operations (NFIFO)</t>
  </si>
  <si>
    <t>Depreciation expense/Gross revenues</t>
  </si>
  <si>
    <t>Depreciation expense</t>
  </si>
  <si>
    <t>Interest expense</t>
  </si>
  <si>
    <t>Operating expenses/Gross revenues</t>
  </si>
  <si>
    <t>Interest expense/Gross revenues</t>
  </si>
  <si>
    <t>Net farm income from operations/Gross revenues</t>
  </si>
  <si>
    <t>Lvstk inv.</t>
  </si>
  <si>
    <t>Withdrawals as unpaid labor</t>
  </si>
  <si>
    <t>Other withdrawals (net of nonfarm income)</t>
  </si>
  <si>
    <t>Repayment capacity</t>
  </si>
  <si>
    <t>Income Statement</t>
  </si>
  <si>
    <t xml:space="preserve">   Gross revenues</t>
  </si>
  <si>
    <t xml:space="preserve">   Net farm income from operations (NFIFO)</t>
  </si>
  <si>
    <t>Repayment margin</t>
  </si>
  <si>
    <t xml:space="preserve"> + Depreciation expense</t>
  </si>
  <si>
    <t xml:space="preserve"> + Interest on term debt</t>
  </si>
  <si>
    <t xml:space="preserve"> – Principal paid on term debt</t>
  </si>
  <si>
    <t xml:space="preserve"> – Other withdrawals (net of nonfarm income)</t>
  </si>
  <si>
    <t xml:space="preserve"> – Total income tax expense</t>
  </si>
  <si>
    <t xml:space="preserve"> – Interest on term debt</t>
  </si>
  <si>
    <t xml:space="preserve"> – Withdrawals as unpaid labor</t>
  </si>
  <si>
    <t>xxx</t>
  </si>
  <si>
    <t>minus</t>
  </si>
  <si>
    <t>Operating profit margin</t>
  </si>
  <si>
    <t>Average debt/equity ratio</t>
  </si>
  <si>
    <t>less</t>
  </si>
  <si>
    <t>Operating expense ratio</t>
  </si>
  <si>
    <t>Depreciation expense ratio</t>
  </si>
  <si>
    <t>Interest expense ratio</t>
  </si>
  <si>
    <t>NFIFO ratio</t>
  </si>
  <si>
    <t>divided
by</t>
  </si>
  <si>
    <t>Gross revenue</t>
  </si>
  <si>
    <t>Return on average farm assets (ROA)</t>
  </si>
  <si>
    <t>Asset turnover
ratio</t>
  </si>
  <si>
    <t>Average cost of liabilities (COL)</t>
  </si>
  <si>
    <t>Spread between
ROA and COL</t>
  </si>
  <si>
    <t>multiplied
by</t>
  </si>
  <si>
    <t>subtracted
by</t>
  </si>
  <si>
    <t>– Operating expense</t>
  </si>
  <si>
    <t>– Depreciation expense</t>
  </si>
  <si>
    <t>– Interest expense</t>
  </si>
  <si>
    <t>= Net farm income from operations (NFIFO)</t>
  </si>
  <si>
    <t xml:space="preserve">   Gross revenue</t>
  </si>
  <si>
    <t>Average farm
assets</t>
  </si>
  <si>
    <t>Average farm
liabilities</t>
  </si>
  <si>
    <t>Average farm
equity</t>
  </si>
  <si>
    <t>Operational efficiency ratios</t>
  </si>
  <si>
    <t>Operating profit
margin</t>
  </si>
  <si>
    <t>Average debt/equity
ratio</t>
  </si>
  <si>
    <t>Average cost of
liabilities (COL)</t>
  </si>
  <si>
    <t>Return on average
farm assets (ROA)</t>
  </si>
  <si>
    <t xml:space="preserve">Return on average
farm equity </t>
  </si>
  <si>
    <t>Average current
farm assets</t>
  </si>
  <si>
    <t>Average noncurrent
farm assets</t>
  </si>
  <si>
    <t>Average current
farm liabilities</t>
  </si>
  <si>
    <t>Average noncurrent
farm liabilities</t>
  </si>
  <si>
    <t>Primary inputs necessary for analysis</t>
  </si>
  <si>
    <t>Secondary inputs optional to enhance analysis</t>
  </si>
  <si>
    <t>Run Description</t>
  </si>
  <si>
    <t>View Simplified Du Pont Model</t>
  </si>
  <si>
    <t>Return on average farm equity (ROE)</t>
  </si>
  <si>
    <t>=</t>
  </si>
  <si>
    <t>Return on average farm assets</t>
  </si>
  <si>
    <t>Return to average farm assets</t>
  </si>
  <si>
    <t>Less interest expense</t>
  </si>
  <si>
    <t>-</t>
  </si>
  <si>
    <t>´</t>
  </si>
  <si>
    <t>Return on average farm equity</t>
  </si>
  <si>
    <t>Solvency ratios</t>
  </si>
  <si>
    <t>Debt/asset ratio, market</t>
  </si>
  <si>
    <t>Debt/asset ratio, book</t>
  </si>
  <si>
    <t>Equity/asset ratio, book</t>
  </si>
  <si>
    <t>Equity/asset ratio, market</t>
  </si>
  <si>
    <t>Debt/equity ratio, market</t>
  </si>
  <si>
    <t>Debt/equity ratio, book</t>
  </si>
  <si>
    <t>*Return to average farm equity before income taxes and nonrecurring gains/losses on sale of capital assets.</t>
  </si>
  <si>
    <t>+</t>
  </si>
  <si>
    <t>Return to operator capital*</t>
  </si>
  <si>
    <t>+ Withdrawals as unpaid labor</t>
  </si>
  <si>
    <t>= Return to operator capital*</t>
  </si>
  <si>
    <t xml:space="preserve">   Average noncurrent farm assets, book</t>
  </si>
  <si>
    <t xml:space="preserve">   Average noncurrent farm assets, market</t>
  </si>
  <si>
    <t xml:space="preserve">   Average noncurrent farm liabilities</t>
  </si>
  <si>
    <t>Liquidity ratios</t>
  </si>
  <si>
    <t>Current ratio</t>
  </si>
  <si>
    <t>Working capital</t>
  </si>
  <si>
    <t>Debt/asset ratio</t>
  </si>
  <si>
    <t>Equity/asset ratio</t>
  </si>
  <si>
    <t>Debt/equity ratio</t>
  </si>
  <si>
    <t>Rolling Acres, Book Basis</t>
  </si>
  <si>
    <t>Term debt service coverage ratio</t>
  </si>
  <si>
    <t>Valuation</t>
  </si>
  <si>
    <t>NFIFO - Withdrawals
 + Interest expense</t>
  </si>
  <si>
    <t>Return to operator***</t>
  </si>
  <si>
    <t xml:space="preserve">   Average current farm assets**</t>
  </si>
  <si>
    <t xml:space="preserve">   Average current farm liabilities**</t>
  </si>
  <si>
    <t>***Return to average farm equity and labor/management before income taxes and nonrecurring gains/losses on sale of capital assets.</t>
  </si>
  <si>
    <t>**Optional data necessary for liquidity analysis.</t>
  </si>
  <si>
    <t>– Variable Operating expense</t>
  </si>
  <si>
    <t>– Depreciation expense &amp; Taxes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</si>
</sst>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0.0000000000000000%"/>
    <numFmt numFmtId="168" formatCode="0.000000000000000%"/>
    <numFmt numFmtId="169" formatCode="0.00000000000000%"/>
    <numFmt numFmtId="170" formatCode="0.0000000000000%"/>
    <numFmt numFmtId="171" formatCode="0.000000000000%"/>
    <numFmt numFmtId="172" formatCode="0.00000000000%"/>
    <numFmt numFmtId="173" formatCode="0.0000000000%"/>
    <numFmt numFmtId="174" formatCode="0.000000000%"/>
    <numFmt numFmtId="175" formatCode="0.00000000%"/>
    <numFmt numFmtId="176" formatCode="0.0000000%"/>
    <numFmt numFmtId="177" formatCode="0.000000%"/>
    <numFmt numFmtId="178" formatCode="0.00000%"/>
    <numFmt numFmtId="179" formatCode="0.0000%"/>
    <numFmt numFmtId="180" formatCode="0.000%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_);_(* \(#,##0.0000\);_(* &quot;-&quot;????_);_(@_)"/>
    <numFmt numFmtId="185" formatCode="_(* #,##0_);_(* \(#,##0\);_(* &quot;-&quot;??_);_(@_)"/>
    <numFmt numFmtId="186" formatCode="#,##0.0"/>
    <numFmt numFmtId="187" formatCode="&quot;$&quot;#,##0.0_);\(&quot;$&quot;#,##0.0\)"/>
    <numFmt numFmtId="188" formatCode="&quot;$&quot;#,##0.0_);[Red]\(&quot;$&quot;#,##0.0\)"/>
  </numFmts>
  <fonts count="50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sz val="8"/>
      <name val="Tahom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Symbol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30" borderId="0" applyNumberFormat="0" applyBorder="0" applyAlignment="0">
      <protection/>
    </xf>
    <xf numFmtId="0" fontId="3" fillId="31" borderId="0" applyNumberFormat="0" applyBorder="0">
      <alignment horizontal="centerContinuous" vertical="center"/>
      <protection/>
    </xf>
    <xf numFmtId="0" fontId="12" fillId="0" borderId="0" applyNumberFormat="0" applyFill="0" applyBorder="0" applyAlignment="0" applyProtection="0"/>
    <xf numFmtId="0" fontId="43" fillId="32" borderId="1" applyNumberFormat="0" applyAlignment="0" applyProtection="0"/>
    <xf numFmtId="0" fontId="44" fillId="0" borderId="6" applyNumberFormat="0" applyFill="0" applyAlignment="0" applyProtection="0"/>
    <xf numFmtId="0" fontId="45" fillId="33" borderId="0" applyNumberFormat="0" applyBorder="0" applyAlignment="0" applyProtection="0"/>
    <xf numFmtId="0" fontId="0" fillId="34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6" fontId="0" fillId="0" borderId="0" applyNumberFormat="0" applyAlignment="0">
      <protection hidden="1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/>
    </xf>
    <xf numFmtId="0" fontId="5" fillId="35" borderId="0" xfId="54" applyFont="1" applyFill="1" applyBorder="1" applyAlignment="1" applyProtection="1">
      <alignment horizontal="centerContinuous" vertical="center"/>
      <protection hidden="1"/>
    </xf>
    <xf numFmtId="0" fontId="7" fillId="0" borderId="0" xfId="54" applyFont="1" applyFill="1" applyBorder="1" applyAlignment="1" applyProtection="1">
      <alignment horizontal="centerContinuous" vertical="center"/>
      <protection hidden="1"/>
    </xf>
    <xf numFmtId="0" fontId="6" fillId="0" borderId="0" xfId="54" applyFont="1" applyFill="1" applyBorder="1" applyAlignment="1" applyProtection="1">
      <alignment horizontal="centerContinuous" vertical="center"/>
      <protection hidden="1"/>
    </xf>
    <xf numFmtId="14" fontId="6" fillId="0" borderId="0" xfId="54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54" applyFont="1" applyFill="1" applyBorder="1" applyAlignment="1" applyProtection="1">
      <alignment horizontal="centerContinuous"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3" fontId="0" fillId="0" borderId="0" xfId="42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 quotePrefix="1">
      <alignment horizontal="left" vertical="center"/>
      <protection hidden="1"/>
    </xf>
    <xf numFmtId="0" fontId="0" fillId="0" borderId="18" xfId="0" applyFont="1" applyBorder="1" applyAlignment="1" applyProtection="1" quotePrefix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4" fillId="0" borderId="20" xfId="0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 quotePrefix="1">
      <alignment vertical="center"/>
      <protection hidden="1"/>
    </xf>
    <xf numFmtId="0" fontId="0" fillId="0" borderId="30" xfId="0" applyFont="1" applyBorder="1" applyAlignment="1" applyProtection="1" quotePrefix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5" fontId="0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 locked="0"/>
    </xf>
    <xf numFmtId="41" fontId="9" fillId="36" borderId="31" xfId="43" applyFont="1" applyFill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41" fontId="9" fillId="37" borderId="31" xfId="43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vertical="center"/>
      <protection hidden="1"/>
    </xf>
    <xf numFmtId="165" fontId="8" fillId="0" borderId="25" xfId="43" applyNumberFormat="1" applyFont="1" applyFill="1" applyBorder="1" applyAlignment="1" applyProtection="1">
      <alignment horizontal="center" vertical="center"/>
      <protection hidden="1"/>
    </xf>
    <xf numFmtId="165" fontId="8" fillId="0" borderId="20" xfId="43" applyNumberFormat="1" applyFont="1" applyFill="1" applyBorder="1" applyAlignment="1" applyProtection="1">
      <alignment horizontal="center" vertical="center"/>
      <protection hidden="1"/>
    </xf>
    <xf numFmtId="165" fontId="8" fillId="0" borderId="24" xfId="43" applyNumberFormat="1" applyFont="1" applyFill="1" applyBorder="1" applyAlignment="1" applyProtection="1">
      <alignment horizontal="center" vertical="center"/>
      <protection hidden="1"/>
    </xf>
    <xf numFmtId="164" fontId="0" fillId="0" borderId="0" xfId="61" applyNumberFormat="1" applyFont="1" applyAlignment="1" applyProtection="1">
      <alignment horizontal="right"/>
      <protection hidden="1"/>
    </xf>
    <xf numFmtId="165" fontId="0" fillId="0" borderId="20" xfId="0" applyNumberFormat="1" applyFont="1" applyBorder="1" applyAlignment="1" applyProtection="1">
      <alignment horizontal="right"/>
      <protection hidden="1"/>
    </xf>
    <xf numFmtId="165" fontId="0" fillId="0" borderId="0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>
      <alignment horizontal="right"/>
    </xf>
    <xf numFmtId="0" fontId="0" fillId="0" borderId="20" xfId="0" applyFont="1" applyBorder="1" applyAlignment="1" applyProtection="1">
      <alignment horizontal="center"/>
      <protection hidden="1"/>
    </xf>
    <xf numFmtId="165" fontId="0" fillId="0" borderId="0" xfId="62" applyNumberFormat="1" applyAlignment="1">
      <alignment horizontal="right"/>
      <protection hidden="1"/>
    </xf>
    <xf numFmtId="164" fontId="0" fillId="0" borderId="20" xfId="0" applyNumberFormat="1" applyFont="1" applyBorder="1" applyAlignment="1" applyProtection="1">
      <alignment horizontal="right"/>
      <protection hidden="1"/>
    </xf>
    <xf numFmtId="164" fontId="0" fillId="0" borderId="20" xfId="0" applyNumberFormat="1" applyFont="1" applyBorder="1" applyAlignment="1">
      <alignment horizontal="right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41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wrapText="1"/>
      <protection hidden="1"/>
    </xf>
    <xf numFmtId="0" fontId="0" fillId="0" borderId="15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4" fontId="0" fillId="0" borderId="0" xfId="61" applyNumberFormat="1" applyFont="1" applyAlignment="1" applyProtection="1">
      <alignment horizontal="right"/>
      <protection hidden="1"/>
    </xf>
    <xf numFmtId="165" fontId="0" fillId="0" borderId="0" xfId="43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41" fontId="0" fillId="0" borderId="32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33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9" xfId="61" applyNumberFormat="1" applyFont="1" applyFill="1" applyBorder="1" applyAlignment="1" applyProtection="1">
      <alignment horizontal="center" vertical="center" wrapText="1"/>
      <protection hidden="1"/>
    </xf>
    <xf numFmtId="164" fontId="0" fillId="0" borderId="26" xfId="61" applyNumberFormat="1" applyFont="1" applyFill="1" applyBorder="1" applyAlignment="1" applyProtection="1">
      <alignment horizontal="center" vertical="center" wrapText="1"/>
      <protection hidden="1"/>
    </xf>
    <xf numFmtId="164" fontId="0" fillId="0" borderId="34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4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5" xfId="42" applyNumberFormat="1" applyFont="1" applyFill="1" applyBorder="1" applyAlignment="1" applyProtection="1">
      <alignment horizontal="center" vertical="center" wrapText="1"/>
      <protection hidden="1"/>
    </xf>
    <xf numFmtId="4" fontId="0" fillId="0" borderId="20" xfId="42" applyNumberFormat="1" applyFont="1" applyFill="1" applyBorder="1" applyAlignment="1" applyProtection="1">
      <alignment horizontal="center" vertical="center" wrapText="1"/>
      <protection hidden="1"/>
    </xf>
    <xf numFmtId="4" fontId="0" fillId="0" borderId="24" xfId="42" applyNumberFormat="1" applyFont="1" applyFill="1" applyBorder="1" applyAlignment="1" applyProtection="1">
      <alignment horizontal="center" vertical="center" wrapText="1"/>
      <protection hidden="1"/>
    </xf>
    <xf numFmtId="164" fontId="0" fillId="0" borderId="25" xfId="61" applyNumberFormat="1" applyFont="1" applyFill="1" applyBorder="1" applyAlignment="1" applyProtection="1">
      <alignment horizontal="center" vertical="center" wrapText="1"/>
      <protection hidden="1"/>
    </xf>
    <xf numFmtId="164" fontId="0" fillId="0" borderId="20" xfId="61" applyNumberFormat="1" applyFont="1" applyFill="1" applyBorder="1" applyAlignment="1" applyProtection="1">
      <alignment horizontal="center" vertical="center" wrapText="1"/>
      <protection hidden="1"/>
    </xf>
    <xf numFmtId="164" fontId="0" fillId="0" borderId="24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65" fontId="9" fillId="36" borderId="35" xfId="43" applyNumberFormat="1" applyFont="1" applyFill="1" applyBorder="1" applyAlignment="1" applyProtection="1">
      <alignment vertical="center"/>
      <protection locked="0"/>
    </xf>
    <xf numFmtId="165" fontId="9" fillId="36" borderId="36" xfId="43" applyNumberFormat="1" applyFont="1" applyFill="1" applyBorder="1" applyAlignment="1" applyProtection="1">
      <alignment vertical="center"/>
      <protection locked="0"/>
    </xf>
    <xf numFmtId="165" fontId="9" fillId="36" borderId="37" xfId="43" applyNumberFormat="1" applyFont="1" applyFill="1" applyBorder="1" applyAlignment="1" applyProtection="1">
      <alignment vertical="center"/>
      <protection locked="0"/>
    </xf>
    <xf numFmtId="165" fontId="0" fillId="0" borderId="0" xfId="43" applyNumberFormat="1" applyFont="1" applyFill="1" applyBorder="1" applyAlignment="1" applyProtection="1">
      <alignment vertical="center"/>
      <protection hidden="1"/>
    </xf>
    <xf numFmtId="165" fontId="9" fillId="37" borderId="35" xfId="43" applyNumberFormat="1" applyFont="1" applyFill="1" applyBorder="1" applyAlignment="1" applyProtection="1">
      <alignment vertical="center"/>
      <protection locked="0"/>
    </xf>
    <xf numFmtId="165" fontId="9" fillId="37" borderId="36" xfId="43" applyNumberFormat="1" applyFont="1" applyFill="1" applyBorder="1" applyAlignment="1" applyProtection="1">
      <alignment vertical="center"/>
      <protection locked="0"/>
    </xf>
    <xf numFmtId="165" fontId="9" fillId="37" borderId="37" xfId="43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top" wrapText="1"/>
      <protection hidden="1"/>
    </xf>
    <xf numFmtId="0" fontId="15" fillId="0" borderId="0" xfId="0" applyFont="1" applyAlignment="1" applyProtection="1">
      <alignment/>
      <protection hidden="1"/>
    </xf>
    <xf numFmtId="4" fontId="0" fillId="0" borderId="0" xfId="61" applyNumberFormat="1" applyFont="1" applyAlignment="1" applyProtection="1" quotePrefix="1">
      <alignment horizontal="right"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5" fontId="0" fillId="0" borderId="20" xfId="0" applyNumberFormat="1" applyFont="1" applyBorder="1" applyAlignment="1">
      <alignment horizontal="right"/>
    </xf>
    <xf numFmtId="5" fontId="8" fillId="0" borderId="25" xfId="43" applyNumberFormat="1" applyFont="1" applyFill="1" applyBorder="1" applyAlignment="1" applyProtection="1">
      <alignment horizontal="center" vertical="center"/>
      <protection hidden="1"/>
    </xf>
    <xf numFmtId="5" fontId="8" fillId="0" borderId="20" xfId="43" applyNumberFormat="1" applyFont="1" applyFill="1" applyBorder="1" applyAlignment="1" applyProtection="1">
      <alignment horizontal="center" vertical="center"/>
      <protection hidden="1"/>
    </xf>
    <xf numFmtId="5" fontId="8" fillId="0" borderId="24" xfId="43" applyNumberFormat="1" applyFont="1" applyFill="1" applyBorder="1" applyAlignment="1" applyProtection="1">
      <alignment horizontal="center" vertical="center"/>
      <protection hidden="1"/>
    </xf>
    <xf numFmtId="41" fontId="9" fillId="36" borderId="38" xfId="43" applyFont="1" applyFill="1" applyBorder="1" applyAlignment="1" applyProtection="1">
      <alignment horizontal="center" vertical="center"/>
      <protection locked="0"/>
    </xf>
    <xf numFmtId="41" fontId="9" fillId="36" borderId="39" xfId="43" applyFont="1" applyFill="1" applyBorder="1" applyAlignment="1" applyProtection="1">
      <alignment horizontal="center" vertical="center"/>
      <protection locked="0"/>
    </xf>
    <xf numFmtId="41" fontId="0" fillId="0" borderId="0" xfId="43" applyFont="1" applyBorder="1" applyAlignment="1" applyProtection="1">
      <alignment/>
      <protection hidden="1"/>
    </xf>
    <xf numFmtId="41" fontId="0" fillId="0" borderId="23" xfId="43" applyFont="1" applyBorder="1" applyAlignment="1" applyProtection="1">
      <alignment/>
      <protection hidden="1"/>
    </xf>
    <xf numFmtId="41" fontId="9" fillId="37" borderId="35" xfId="43" applyFont="1" applyFill="1" applyBorder="1" applyAlignment="1" applyProtection="1">
      <alignment/>
      <protection locked="0"/>
    </xf>
    <xf numFmtId="41" fontId="9" fillId="37" borderId="40" xfId="43" applyFont="1" applyFill="1" applyBorder="1" applyAlignment="1" applyProtection="1">
      <alignment/>
      <protection locked="0"/>
    </xf>
    <xf numFmtId="41" fontId="9" fillId="37" borderId="41" xfId="43" applyFont="1" applyFill="1" applyBorder="1" applyAlignment="1" applyProtection="1">
      <alignment vertical="center"/>
      <protection locked="0"/>
    </xf>
    <xf numFmtId="41" fontId="9" fillId="37" borderId="42" xfId="43" applyFont="1" applyFill="1" applyBorder="1" applyAlignment="1" applyProtection="1">
      <alignment vertical="center"/>
      <protection locked="0"/>
    </xf>
    <xf numFmtId="41" fontId="0" fillId="0" borderId="12" xfId="43" applyFont="1" applyBorder="1" applyAlignment="1" applyProtection="1">
      <alignment/>
      <protection hidden="1"/>
    </xf>
    <xf numFmtId="41" fontId="0" fillId="0" borderId="22" xfId="43" applyFont="1" applyBorder="1" applyAlignment="1" applyProtection="1">
      <alignment/>
      <protection hidden="1"/>
    </xf>
    <xf numFmtId="41" fontId="9" fillId="37" borderId="35" xfId="43" applyFont="1" applyFill="1" applyBorder="1" applyAlignment="1" applyProtection="1">
      <alignment vertical="center"/>
      <protection locked="0"/>
    </xf>
    <xf numFmtId="41" fontId="9" fillId="37" borderId="40" xfId="43" applyFont="1" applyFill="1" applyBorder="1" applyAlignment="1" applyProtection="1">
      <alignment vertical="center"/>
      <protection locked="0"/>
    </xf>
    <xf numFmtId="0" fontId="0" fillId="38" borderId="17" xfId="0" applyFont="1" applyFill="1" applyBorder="1" applyAlignment="1" applyProtection="1">
      <alignment horizontal="center"/>
      <protection hidden="1"/>
    </xf>
    <xf numFmtId="0" fontId="0" fillId="38" borderId="21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" fontId="0" fillId="0" borderId="21" xfId="61" applyNumberFormat="1" applyFont="1" applyBorder="1" applyAlignment="1" applyProtection="1">
      <alignment horizontal="right"/>
      <protection hidden="1"/>
    </xf>
    <xf numFmtId="4" fontId="0" fillId="0" borderId="10" xfId="61" applyNumberFormat="1" applyFont="1" applyBorder="1" applyAlignment="1" applyProtection="1">
      <alignment horizontal="right"/>
      <protection hidden="1"/>
    </xf>
    <xf numFmtId="0" fontId="12" fillId="0" borderId="0" xfId="55" applyAlignment="1" applyProtection="1">
      <alignment/>
      <protection hidden="1" locked="0"/>
    </xf>
    <xf numFmtId="41" fontId="9" fillId="37" borderId="43" xfId="43" applyFont="1" applyFill="1" applyBorder="1" applyAlignment="1" applyProtection="1">
      <alignment/>
      <protection locked="0"/>
    </xf>
    <xf numFmtId="41" fontId="9" fillId="37" borderId="24" xfId="43" applyFont="1" applyFill="1" applyBorder="1" applyAlignment="1" applyProtection="1">
      <alignment/>
      <protection locked="0"/>
    </xf>
    <xf numFmtId="41" fontId="9" fillId="36" borderId="41" xfId="43" applyFont="1" applyFill="1" applyBorder="1" applyAlignment="1" applyProtection="1">
      <alignment vertical="center"/>
      <protection locked="0"/>
    </xf>
    <xf numFmtId="41" fontId="9" fillId="36" borderId="42" xfId="43" applyFont="1" applyFill="1" applyBorder="1" applyAlignment="1" applyProtection="1">
      <alignment vertical="center"/>
      <protection locked="0"/>
    </xf>
    <xf numFmtId="41" fontId="10" fillId="0" borderId="0" xfId="43" applyFont="1" applyBorder="1" applyAlignment="1" applyProtection="1">
      <alignment/>
      <protection hidden="1"/>
    </xf>
    <xf numFmtId="41" fontId="10" fillId="0" borderId="23" xfId="43" applyFont="1" applyBorder="1" applyAlignment="1" applyProtection="1">
      <alignment/>
      <protection hidden="1"/>
    </xf>
    <xf numFmtId="41" fontId="0" fillId="0" borderId="20" xfId="43" applyFont="1" applyBorder="1" applyAlignment="1" applyProtection="1">
      <alignment/>
      <protection hidden="1"/>
    </xf>
    <xf numFmtId="41" fontId="0" fillId="0" borderId="24" xfId="43" applyFont="1" applyBorder="1" applyAlignment="1" applyProtection="1">
      <alignment/>
      <protection hidden="1"/>
    </xf>
    <xf numFmtId="4" fontId="0" fillId="0" borderId="20" xfId="61" applyNumberFormat="1" applyFont="1" applyBorder="1" applyAlignment="1" applyProtection="1" quotePrefix="1">
      <alignment horizontal="right"/>
      <protection hidden="1"/>
    </xf>
    <xf numFmtId="4" fontId="0" fillId="0" borderId="24" xfId="61" applyNumberFormat="1" applyFont="1" applyBorder="1" applyAlignment="1" applyProtection="1">
      <alignment horizontal="right"/>
      <protection hidden="1"/>
    </xf>
    <xf numFmtId="164" fontId="0" fillId="0" borderId="0" xfId="61" applyNumberFormat="1" applyFont="1" applyBorder="1" applyAlignment="1" applyProtection="1">
      <alignment horizontal="right"/>
      <protection hidden="1"/>
    </xf>
    <xf numFmtId="164" fontId="0" fillId="0" borderId="23" xfId="61" applyNumberFormat="1" applyFont="1" applyBorder="1" applyAlignment="1" applyProtection="1">
      <alignment horizontal="right"/>
      <protection hidden="1"/>
    </xf>
    <xf numFmtId="4" fontId="0" fillId="0" borderId="0" xfId="61" applyNumberFormat="1" applyFont="1" applyBorder="1" applyAlignment="1" applyProtection="1">
      <alignment horizontal="right"/>
      <protection hidden="1"/>
    </xf>
    <xf numFmtId="4" fontId="0" fillId="0" borderId="23" xfId="61" applyNumberFormat="1" applyFont="1" applyBorder="1" applyAlignment="1" applyProtection="1">
      <alignment horizontal="right"/>
      <protection hidden="1"/>
    </xf>
    <xf numFmtId="39" fontId="0" fillId="0" borderId="25" xfId="42" applyNumberFormat="1" applyFont="1" applyFill="1" applyBorder="1" applyAlignment="1" applyProtection="1">
      <alignment horizontal="center" vertical="center" wrapText="1"/>
      <protection hidden="1"/>
    </xf>
    <xf numFmtId="39" fontId="0" fillId="0" borderId="20" xfId="42" applyNumberFormat="1" applyFont="1" applyFill="1" applyBorder="1" applyAlignment="1" applyProtection="1">
      <alignment horizontal="center" vertical="center" wrapText="1"/>
      <protection hidden="1"/>
    </xf>
    <xf numFmtId="39" fontId="0" fillId="0" borderId="24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39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39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41" fontId="0" fillId="0" borderId="20" xfId="43" applyFont="1" applyBorder="1" applyAlignment="1" applyProtection="1">
      <alignment vertical="center"/>
      <protection hidden="1"/>
    </xf>
    <xf numFmtId="41" fontId="0" fillId="0" borderId="24" xfId="43" applyFont="1" applyBorder="1" applyAlignment="1" applyProtection="1">
      <alignment vertical="center"/>
      <protection hidden="1"/>
    </xf>
    <xf numFmtId="0" fontId="0" fillId="38" borderId="17" xfId="0" applyFont="1" applyFill="1" applyBorder="1" applyAlignment="1" applyProtection="1">
      <alignment horizontal="center"/>
      <protection hidden="1"/>
    </xf>
    <xf numFmtId="0" fontId="0" fillId="38" borderId="21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center"/>
      <protection hidden="1"/>
    </xf>
    <xf numFmtId="41" fontId="9" fillId="37" borderId="44" xfId="43" applyFont="1" applyFill="1" applyBorder="1" applyAlignment="1" applyProtection="1">
      <alignment vertical="center"/>
      <protection locked="0"/>
    </xf>
    <xf numFmtId="41" fontId="9" fillId="37" borderId="45" xfId="43" applyFont="1" applyFill="1" applyBorder="1" applyAlignment="1" applyProtection="1">
      <alignment vertical="center"/>
      <protection locked="0"/>
    </xf>
    <xf numFmtId="164" fontId="0" fillId="0" borderId="20" xfId="61" applyNumberFormat="1" applyFont="1" applyBorder="1" applyAlignment="1" applyProtection="1">
      <alignment horizontal="right"/>
      <protection hidden="1"/>
    </xf>
    <xf numFmtId="164" fontId="0" fillId="0" borderId="24" xfId="61" applyNumberFormat="1" applyFont="1" applyBorder="1" applyAlignment="1" applyProtection="1">
      <alignment horizontal="right"/>
      <protection hidden="1"/>
    </xf>
    <xf numFmtId="164" fontId="0" fillId="0" borderId="0" xfId="61" applyNumberFormat="1" applyFont="1" applyBorder="1" applyAlignment="1" applyProtection="1">
      <alignment horizontal="right"/>
      <protection hidden="1"/>
    </xf>
    <xf numFmtId="164" fontId="0" fillId="0" borderId="23" xfId="61" applyNumberFormat="1" applyFont="1" applyBorder="1" applyAlignment="1" applyProtection="1">
      <alignment horizontal="right"/>
      <protection hidden="1"/>
    </xf>
    <xf numFmtId="41" fontId="9" fillId="36" borderId="44" xfId="43" applyFont="1" applyFill="1" applyBorder="1" applyAlignment="1" applyProtection="1">
      <alignment vertical="center"/>
      <protection locked="0"/>
    </xf>
    <xf numFmtId="41" fontId="9" fillId="36" borderId="45" xfId="43" applyFont="1" applyFill="1" applyBorder="1" applyAlignment="1" applyProtection="1">
      <alignment vertical="center"/>
      <protection locked="0"/>
    </xf>
    <xf numFmtId="41" fontId="9" fillId="37" borderId="31" xfId="43" applyFont="1" applyFill="1" applyBorder="1" applyAlignment="1" applyProtection="1">
      <alignment/>
      <protection locked="0"/>
    </xf>
    <xf numFmtId="43" fontId="9" fillId="37" borderId="31" xfId="42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1" fontId="9" fillId="36" borderId="35" xfId="43" applyFont="1" applyFill="1" applyBorder="1" applyAlignment="1" applyProtection="1">
      <alignment vertical="center"/>
      <protection locked="0"/>
    </xf>
    <xf numFmtId="41" fontId="9" fillId="36" borderId="40" xfId="43" applyFont="1" applyFill="1" applyBorder="1" applyAlignment="1" applyProtection="1">
      <alignment vertical="center"/>
      <protection locked="0"/>
    </xf>
    <xf numFmtId="41" fontId="0" fillId="0" borderId="21" xfId="43" applyFont="1" applyBorder="1" applyAlignment="1" applyProtection="1">
      <alignment vertical="center"/>
      <protection hidden="1"/>
    </xf>
    <xf numFmtId="41" fontId="0" fillId="0" borderId="10" xfId="43" applyFont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41" fontId="0" fillId="0" borderId="0" xfId="43" applyFont="1" applyBorder="1" applyAlignment="1" applyProtection="1">
      <alignment vertical="center"/>
      <protection hidden="1"/>
    </xf>
    <xf numFmtId="41" fontId="0" fillId="0" borderId="23" xfId="43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/>
      <protection hidden="1"/>
    </xf>
    <xf numFmtId="165" fontId="0" fillId="0" borderId="20" xfId="43" applyNumberFormat="1" applyFont="1" applyFill="1" applyBorder="1" applyAlignment="1" applyProtection="1">
      <alignment horizontal="right" vertical="center"/>
      <protection hidden="1"/>
    </xf>
    <xf numFmtId="165" fontId="0" fillId="0" borderId="24" xfId="43" applyNumberFormat="1" applyFont="1" applyFill="1" applyBorder="1" applyAlignment="1" applyProtection="1">
      <alignment horizontal="right" vertical="center"/>
      <protection hidden="1"/>
    </xf>
    <xf numFmtId="0" fontId="9" fillId="36" borderId="46" xfId="43" applyNumberFormat="1" applyFont="1" applyFill="1" applyBorder="1" applyAlignment="1" applyProtection="1">
      <alignment vertical="top" wrapText="1"/>
      <protection locked="0"/>
    </xf>
    <xf numFmtId="0" fontId="9" fillId="36" borderId="12" xfId="43" applyNumberFormat="1" applyFont="1" applyFill="1" applyBorder="1" applyAlignment="1" applyProtection="1">
      <alignment vertical="top" wrapText="1"/>
      <protection locked="0"/>
    </xf>
    <xf numFmtId="0" fontId="9" fillId="36" borderId="47" xfId="43" applyNumberFormat="1" applyFont="1" applyFill="1" applyBorder="1" applyAlignment="1" applyProtection="1">
      <alignment vertical="top" wrapText="1"/>
      <protection locked="0"/>
    </xf>
    <xf numFmtId="0" fontId="9" fillId="36" borderId="30" xfId="43" applyNumberFormat="1" applyFont="1" applyFill="1" applyBorder="1" applyAlignment="1" applyProtection="1">
      <alignment vertical="top" wrapText="1"/>
      <protection locked="0"/>
    </xf>
    <xf numFmtId="0" fontId="9" fillId="36" borderId="0" xfId="43" applyNumberFormat="1" applyFont="1" applyFill="1" applyBorder="1" applyAlignment="1" applyProtection="1">
      <alignment vertical="top" wrapText="1"/>
      <protection locked="0"/>
    </xf>
    <xf numFmtId="0" fontId="9" fillId="36" borderId="48" xfId="43" applyNumberFormat="1" applyFont="1" applyFill="1" applyBorder="1" applyAlignment="1" applyProtection="1">
      <alignment vertical="top" wrapText="1"/>
      <protection locked="0"/>
    </xf>
    <xf numFmtId="0" fontId="9" fillId="36" borderId="38" xfId="43" applyNumberFormat="1" applyFont="1" applyFill="1" applyBorder="1" applyAlignment="1" applyProtection="1">
      <alignment vertical="top" wrapText="1"/>
      <protection locked="0"/>
    </xf>
    <xf numFmtId="0" fontId="9" fillId="36" borderId="49" xfId="43" applyNumberFormat="1" applyFont="1" applyFill="1" applyBorder="1" applyAlignment="1" applyProtection="1">
      <alignment vertical="top" wrapText="1"/>
      <protection locked="0"/>
    </xf>
    <xf numFmtId="0" fontId="9" fillId="36" borderId="50" xfId="43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Subtitle" xfId="53"/>
    <cellStyle name="HeadingTitle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104775</xdr:rowOff>
    </xdr:from>
    <xdr:to>
      <xdr:col>20</xdr:col>
      <xdr:colOff>123825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43200" y="2543175"/>
          <a:ext cx="338137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114300</xdr:colOff>
      <xdr:row>0</xdr:row>
      <xdr:rowOff>38100</xdr:rowOff>
    </xdr:from>
    <xdr:to>
      <xdr:col>23</xdr:col>
      <xdr:colOff>0</xdr:colOff>
      <xdr:row>2</xdr:row>
      <xdr:rowOff>847725</xdr:rowOff>
    </xdr:to>
    <xdr:grpSp>
      <xdr:nvGrpSpPr>
        <xdr:cNvPr id="2" name="Group 2"/>
        <xdr:cNvGrpSpPr>
          <a:grpSpLocks/>
        </xdr:cNvGrpSpPr>
      </xdr:nvGrpSpPr>
      <xdr:grpSpPr>
        <a:xfrm>
          <a:off x="5800725" y="38100"/>
          <a:ext cx="1143000" cy="1123950"/>
          <a:chOff x="498" y="517"/>
          <a:chExt cx="120" cy="38"/>
        </a:xfrm>
        <a:solidFill>
          <a:srgbClr val="FFFFFF"/>
        </a:solidFill>
      </xdr:grpSpPr>
    </xdr:grpSp>
    <xdr:clientData fPrintsWithSheet="0"/>
  </xdr:twoCellAnchor>
  <xdr:twoCellAnchor>
    <xdr:from>
      <xdr:col>11</xdr:col>
      <xdr:colOff>161925</xdr:colOff>
      <xdr:row>38</xdr:row>
      <xdr:rowOff>76200</xdr:rowOff>
    </xdr:from>
    <xdr:to>
      <xdr:col>11</xdr:col>
      <xdr:colOff>161925</xdr:colOff>
      <xdr:row>54</xdr:row>
      <xdr:rowOff>76200</xdr:rowOff>
    </xdr:to>
    <xdr:sp>
      <xdr:nvSpPr>
        <xdr:cNvPr id="6" name="Line 6"/>
        <xdr:cNvSpPr>
          <a:spLocks/>
        </xdr:cNvSpPr>
      </xdr:nvSpPr>
      <xdr:spPr>
        <a:xfrm>
          <a:off x="3333750" y="68389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76200</xdr:rowOff>
    </xdr:from>
    <xdr:to>
      <xdr:col>12</xdr:col>
      <xdr:colOff>142875</xdr:colOff>
      <xdr:row>56</xdr:row>
      <xdr:rowOff>76200</xdr:rowOff>
    </xdr:to>
    <xdr:sp>
      <xdr:nvSpPr>
        <xdr:cNvPr id="7" name="Line 7"/>
        <xdr:cNvSpPr>
          <a:spLocks/>
        </xdr:cNvSpPr>
      </xdr:nvSpPr>
      <xdr:spPr>
        <a:xfrm>
          <a:off x="3629025" y="65532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76200</xdr:rowOff>
    </xdr:from>
    <xdr:to>
      <xdr:col>11</xdr:col>
      <xdr:colOff>161925</xdr:colOff>
      <xdr:row>54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3181350" y="9163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85725</xdr:rowOff>
    </xdr:from>
    <xdr:to>
      <xdr:col>11</xdr:col>
      <xdr:colOff>161925</xdr:colOff>
      <xdr:row>50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3181350" y="8572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76200</xdr:rowOff>
    </xdr:from>
    <xdr:to>
      <xdr:col>11</xdr:col>
      <xdr:colOff>161925</xdr:colOff>
      <xdr:row>38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2571750" y="6838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142875</xdr:colOff>
      <xdr:row>56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3171825" y="9458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12</xdr:col>
      <xdr:colOff>142875</xdr:colOff>
      <xdr:row>36</xdr:row>
      <xdr:rowOff>76200</xdr:rowOff>
    </xdr:to>
    <xdr:sp>
      <xdr:nvSpPr>
        <xdr:cNvPr id="12" name="Line 12"/>
        <xdr:cNvSpPr>
          <a:spLocks/>
        </xdr:cNvSpPr>
      </xdr:nvSpPr>
      <xdr:spPr>
        <a:xfrm flipH="1">
          <a:off x="3400425" y="6553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676275</xdr:rowOff>
    </xdr:from>
    <xdr:to>
      <xdr:col>9</xdr:col>
      <xdr:colOff>9525</xdr:colOff>
      <xdr:row>5</xdr:row>
      <xdr:rowOff>47625</xdr:rowOff>
    </xdr:to>
    <xdr:pic>
      <xdr:nvPicPr>
        <xdr:cNvPr id="13" name="Picture 13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2552700" cy="1200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104775</xdr:rowOff>
    </xdr:from>
    <xdr:to>
      <xdr:col>20</xdr:col>
      <xdr:colOff>123825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43200" y="2543175"/>
          <a:ext cx="338137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114300</xdr:colOff>
      <xdr:row>0</xdr:row>
      <xdr:rowOff>38100</xdr:rowOff>
    </xdr:from>
    <xdr:to>
      <xdr:col>23</xdr:col>
      <xdr:colOff>0</xdr:colOff>
      <xdr:row>2</xdr:row>
      <xdr:rowOff>847725</xdr:rowOff>
    </xdr:to>
    <xdr:grpSp>
      <xdr:nvGrpSpPr>
        <xdr:cNvPr id="2" name="Group 2"/>
        <xdr:cNvGrpSpPr>
          <a:grpSpLocks/>
        </xdr:cNvGrpSpPr>
      </xdr:nvGrpSpPr>
      <xdr:grpSpPr>
        <a:xfrm>
          <a:off x="5800725" y="38100"/>
          <a:ext cx="1143000" cy="1123950"/>
          <a:chOff x="498" y="517"/>
          <a:chExt cx="120" cy="38"/>
        </a:xfrm>
        <a:solidFill>
          <a:srgbClr val="FFFFFF"/>
        </a:solidFill>
      </xdr:grpSpPr>
    </xdr:grpSp>
    <xdr:clientData fPrintsWithSheet="0"/>
  </xdr:twoCellAnchor>
  <xdr:twoCellAnchor>
    <xdr:from>
      <xdr:col>11</xdr:col>
      <xdr:colOff>161925</xdr:colOff>
      <xdr:row>38</xdr:row>
      <xdr:rowOff>76200</xdr:rowOff>
    </xdr:from>
    <xdr:to>
      <xdr:col>11</xdr:col>
      <xdr:colOff>161925</xdr:colOff>
      <xdr:row>54</xdr:row>
      <xdr:rowOff>76200</xdr:rowOff>
    </xdr:to>
    <xdr:sp>
      <xdr:nvSpPr>
        <xdr:cNvPr id="6" name="Line 6"/>
        <xdr:cNvSpPr>
          <a:spLocks/>
        </xdr:cNvSpPr>
      </xdr:nvSpPr>
      <xdr:spPr>
        <a:xfrm>
          <a:off x="3333750" y="68389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76200</xdr:rowOff>
    </xdr:from>
    <xdr:to>
      <xdr:col>12</xdr:col>
      <xdr:colOff>142875</xdr:colOff>
      <xdr:row>56</xdr:row>
      <xdr:rowOff>76200</xdr:rowOff>
    </xdr:to>
    <xdr:sp>
      <xdr:nvSpPr>
        <xdr:cNvPr id="7" name="Line 7"/>
        <xdr:cNvSpPr>
          <a:spLocks/>
        </xdr:cNvSpPr>
      </xdr:nvSpPr>
      <xdr:spPr>
        <a:xfrm>
          <a:off x="3629025" y="65532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76200</xdr:rowOff>
    </xdr:from>
    <xdr:to>
      <xdr:col>11</xdr:col>
      <xdr:colOff>161925</xdr:colOff>
      <xdr:row>54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3181350" y="9163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85725</xdr:rowOff>
    </xdr:from>
    <xdr:to>
      <xdr:col>11</xdr:col>
      <xdr:colOff>161925</xdr:colOff>
      <xdr:row>50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3181350" y="8572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76200</xdr:rowOff>
    </xdr:from>
    <xdr:to>
      <xdr:col>11</xdr:col>
      <xdr:colOff>161925</xdr:colOff>
      <xdr:row>38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2571750" y="6838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142875</xdr:colOff>
      <xdr:row>56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3171825" y="9458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12</xdr:col>
      <xdr:colOff>142875</xdr:colOff>
      <xdr:row>36</xdr:row>
      <xdr:rowOff>76200</xdr:rowOff>
    </xdr:to>
    <xdr:sp>
      <xdr:nvSpPr>
        <xdr:cNvPr id="12" name="Line 12"/>
        <xdr:cNvSpPr>
          <a:spLocks/>
        </xdr:cNvSpPr>
      </xdr:nvSpPr>
      <xdr:spPr>
        <a:xfrm flipH="1">
          <a:off x="3400425" y="6553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676275</xdr:rowOff>
    </xdr:from>
    <xdr:to>
      <xdr:col>9</xdr:col>
      <xdr:colOff>9525</xdr:colOff>
      <xdr:row>5</xdr:row>
      <xdr:rowOff>47625</xdr:rowOff>
    </xdr:to>
    <xdr:pic>
      <xdr:nvPicPr>
        <xdr:cNvPr id="13" name="Picture 14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2552700" cy="1200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104775</xdr:rowOff>
    </xdr:from>
    <xdr:to>
      <xdr:col>20</xdr:col>
      <xdr:colOff>123825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43200" y="2543175"/>
          <a:ext cx="338137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114300</xdr:colOff>
      <xdr:row>0</xdr:row>
      <xdr:rowOff>38100</xdr:rowOff>
    </xdr:from>
    <xdr:to>
      <xdr:col>23</xdr:col>
      <xdr:colOff>0</xdr:colOff>
      <xdr:row>2</xdr:row>
      <xdr:rowOff>847725</xdr:rowOff>
    </xdr:to>
    <xdr:grpSp>
      <xdr:nvGrpSpPr>
        <xdr:cNvPr id="2" name="Group 2"/>
        <xdr:cNvGrpSpPr>
          <a:grpSpLocks/>
        </xdr:cNvGrpSpPr>
      </xdr:nvGrpSpPr>
      <xdr:grpSpPr>
        <a:xfrm>
          <a:off x="5800725" y="38100"/>
          <a:ext cx="1143000" cy="1123950"/>
          <a:chOff x="498" y="517"/>
          <a:chExt cx="120" cy="38"/>
        </a:xfrm>
        <a:solidFill>
          <a:srgbClr val="FFFFFF"/>
        </a:solidFill>
      </xdr:grpSpPr>
    </xdr:grpSp>
    <xdr:clientData fPrintsWithSheet="0"/>
  </xdr:twoCellAnchor>
  <xdr:twoCellAnchor>
    <xdr:from>
      <xdr:col>11</xdr:col>
      <xdr:colOff>161925</xdr:colOff>
      <xdr:row>38</xdr:row>
      <xdr:rowOff>76200</xdr:rowOff>
    </xdr:from>
    <xdr:to>
      <xdr:col>11</xdr:col>
      <xdr:colOff>161925</xdr:colOff>
      <xdr:row>54</xdr:row>
      <xdr:rowOff>76200</xdr:rowOff>
    </xdr:to>
    <xdr:sp>
      <xdr:nvSpPr>
        <xdr:cNvPr id="6" name="Line 6"/>
        <xdr:cNvSpPr>
          <a:spLocks/>
        </xdr:cNvSpPr>
      </xdr:nvSpPr>
      <xdr:spPr>
        <a:xfrm>
          <a:off x="3333750" y="68389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76200</xdr:rowOff>
    </xdr:from>
    <xdr:to>
      <xdr:col>12</xdr:col>
      <xdr:colOff>142875</xdr:colOff>
      <xdr:row>56</xdr:row>
      <xdr:rowOff>76200</xdr:rowOff>
    </xdr:to>
    <xdr:sp>
      <xdr:nvSpPr>
        <xdr:cNvPr id="7" name="Line 7"/>
        <xdr:cNvSpPr>
          <a:spLocks/>
        </xdr:cNvSpPr>
      </xdr:nvSpPr>
      <xdr:spPr>
        <a:xfrm>
          <a:off x="3629025" y="65532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76200</xdr:rowOff>
    </xdr:from>
    <xdr:to>
      <xdr:col>11</xdr:col>
      <xdr:colOff>161925</xdr:colOff>
      <xdr:row>54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3181350" y="9163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85725</xdr:rowOff>
    </xdr:from>
    <xdr:to>
      <xdr:col>11</xdr:col>
      <xdr:colOff>161925</xdr:colOff>
      <xdr:row>50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3181350" y="8572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76200</xdr:rowOff>
    </xdr:from>
    <xdr:to>
      <xdr:col>11</xdr:col>
      <xdr:colOff>161925</xdr:colOff>
      <xdr:row>38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2571750" y="6838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142875</xdr:colOff>
      <xdr:row>56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3171825" y="9458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12</xdr:col>
      <xdr:colOff>142875</xdr:colOff>
      <xdr:row>36</xdr:row>
      <xdr:rowOff>76200</xdr:rowOff>
    </xdr:to>
    <xdr:sp>
      <xdr:nvSpPr>
        <xdr:cNvPr id="12" name="Line 12"/>
        <xdr:cNvSpPr>
          <a:spLocks/>
        </xdr:cNvSpPr>
      </xdr:nvSpPr>
      <xdr:spPr>
        <a:xfrm flipH="1">
          <a:off x="3400425" y="6553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676275</xdr:rowOff>
    </xdr:from>
    <xdr:to>
      <xdr:col>9</xdr:col>
      <xdr:colOff>9525</xdr:colOff>
      <xdr:row>5</xdr:row>
      <xdr:rowOff>47625</xdr:rowOff>
    </xdr:to>
    <xdr:pic>
      <xdr:nvPicPr>
        <xdr:cNvPr id="13" name="Picture 13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2552700" cy="1200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104775</xdr:rowOff>
    </xdr:from>
    <xdr:to>
      <xdr:col>20</xdr:col>
      <xdr:colOff>123825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43200" y="2543175"/>
          <a:ext cx="338137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114300</xdr:colOff>
      <xdr:row>0</xdr:row>
      <xdr:rowOff>38100</xdr:rowOff>
    </xdr:from>
    <xdr:to>
      <xdr:col>23</xdr:col>
      <xdr:colOff>0</xdr:colOff>
      <xdr:row>2</xdr:row>
      <xdr:rowOff>847725</xdr:rowOff>
    </xdr:to>
    <xdr:grpSp>
      <xdr:nvGrpSpPr>
        <xdr:cNvPr id="2" name="Group 2"/>
        <xdr:cNvGrpSpPr>
          <a:grpSpLocks/>
        </xdr:cNvGrpSpPr>
      </xdr:nvGrpSpPr>
      <xdr:grpSpPr>
        <a:xfrm>
          <a:off x="5800725" y="38100"/>
          <a:ext cx="1143000" cy="1123950"/>
          <a:chOff x="498" y="517"/>
          <a:chExt cx="120" cy="38"/>
        </a:xfrm>
        <a:solidFill>
          <a:srgbClr val="FFFFFF"/>
        </a:solidFill>
      </xdr:grpSpPr>
    </xdr:grpSp>
    <xdr:clientData fPrintsWithSheet="0"/>
  </xdr:twoCellAnchor>
  <xdr:twoCellAnchor>
    <xdr:from>
      <xdr:col>11</xdr:col>
      <xdr:colOff>161925</xdr:colOff>
      <xdr:row>38</xdr:row>
      <xdr:rowOff>76200</xdr:rowOff>
    </xdr:from>
    <xdr:to>
      <xdr:col>11</xdr:col>
      <xdr:colOff>161925</xdr:colOff>
      <xdr:row>54</xdr:row>
      <xdr:rowOff>76200</xdr:rowOff>
    </xdr:to>
    <xdr:sp>
      <xdr:nvSpPr>
        <xdr:cNvPr id="6" name="Line 6"/>
        <xdr:cNvSpPr>
          <a:spLocks/>
        </xdr:cNvSpPr>
      </xdr:nvSpPr>
      <xdr:spPr>
        <a:xfrm>
          <a:off x="3333750" y="68389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76200</xdr:rowOff>
    </xdr:from>
    <xdr:to>
      <xdr:col>12</xdr:col>
      <xdr:colOff>142875</xdr:colOff>
      <xdr:row>56</xdr:row>
      <xdr:rowOff>76200</xdr:rowOff>
    </xdr:to>
    <xdr:sp>
      <xdr:nvSpPr>
        <xdr:cNvPr id="7" name="Line 7"/>
        <xdr:cNvSpPr>
          <a:spLocks/>
        </xdr:cNvSpPr>
      </xdr:nvSpPr>
      <xdr:spPr>
        <a:xfrm>
          <a:off x="3629025" y="65532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76200</xdr:rowOff>
    </xdr:from>
    <xdr:to>
      <xdr:col>11</xdr:col>
      <xdr:colOff>161925</xdr:colOff>
      <xdr:row>54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3181350" y="9163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85725</xdr:rowOff>
    </xdr:from>
    <xdr:to>
      <xdr:col>11</xdr:col>
      <xdr:colOff>161925</xdr:colOff>
      <xdr:row>50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3181350" y="8572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76200</xdr:rowOff>
    </xdr:from>
    <xdr:to>
      <xdr:col>11</xdr:col>
      <xdr:colOff>161925</xdr:colOff>
      <xdr:row>38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2571750" y="6838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142875</xdr:colOff>
      <xdr:row>56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3171825" y="9458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12</xdr:col>
      <xdr:colOff>142875</xdr:colOff>
      <xdr:row>36</xdr:row>
      <xdr:rowOff>76200</xdr:rowOff>
    </xdr:to>
    <xdr:sp>
      <xdr:nvSpPr>
        <xdr:cNvPr id="12" name="Line 12"/>
        <xdr:cNvSpPr>
          <a:spLocks/>
        </xdr:cNvSpPr>
      </xdr:nvSpPr>
      <xdr:spPr>
        <a:xfrm flipH="1">
          <a:off x="3400425" y="6553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676275</xdr:rowOff>
    </xdr:from>
    <xdr:to>
      <xdr:col>9</xdr:col>
      <xdr:colOff>9525</xdr:colOff>
      <xdr:row>5</xdr:row>
      <xdr:rowOff>47625</xdr:rowOff>
    </xdr:to>
    <xdr:pic>
      <xdr:nvPicPr>
        <xdr:cNvPr id="13" name="Picture 13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2552700" cy="1200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104775</xdr:rowOff>
    </xdr:from>
    <xdr:to>
      <xdr:col>20</xdr:col>
      <xdr:colOff>123825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43200" y="1171575"/>
          <a:ext cx="338137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38</xdr:row>
      <xdr:rowOff>76200</xdr:rowOff>
    </xdr:from>
    <xdr:to>
      <xdr:col>11</xdr:col>
      <xdr:colOff>161925</xdr:colOff>
      <xdr:row>54</xdr:row>
      <xdr:rowOff>76200</xdr:rowOff>
    </xdr:to>
    <xdr:sp>
      <xdr:nvSpPr>
        <xdr:cNvPr id="2" name="Line 6"/>
        <xdr:cNvSpPr>
          <a:spLocks/>
        </xdr:cNvSpPr>
      </xdr:nvSpPr>
      <xdr:spPr>
        <a:xfrm>
          <a:off x="3333750" y="54673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76200</xdr:rowOff>
    </xdr:from>
    <xdr:to>
      <xdr:col>12</xdr:col>
      <xdr:colOff>142875</xdr:colOff>
      <xdr:row>56</xdr:row>
      <xdr:rowOff>76200</xdr:rowOff>
    </xdr:to>
    <xdr:sp>
      <xdr:nvSpPr>
        <xdr:cNvPr id="3" name="Line 7"/>
        <xdr:cNvSpPr>
          <a:spLocks/>
        </xdr:cNvSpPr>
      </xdr:nvSpPr>
      <xdr:spPr>
        <a:xfrm>
          <a:off x="3629025" y="51816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76200</xdr:rowOff>
    </xdr:from>
    <xdr:to>
      <xdr:col>11</xdr:col>
      <xdr:colOff>161925</xdr:colOff>
      <xdr:row>54</xdr:row>
      <xdr:rowOff>76200</xdr:rowOff>
    </xdr:to>
    <xdr:sp>
      <xdr:nvSpPr>
        <xdr:cNvPr id="4" name="Line 8"/>
        <xdr:cNvSpPr>
          <a:spLocks/>
        </xdr:cNvSpPr>
      </xdr:nvSpPr>
      <xdr:spPr>
        <a:xfrm flipH="1">
          <a:off x="3181350" y="7791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85725</xdr:rowOff>
    </xdr:from>
    <xdr:to>
      <xdr:col>11</xdr:col>
      <xdr:colOff>161925</xdr:colOff>
      <xdr:row>50</xdr:row>
      <xdr:rowOff>85725</xdr:rowOff>
    </xdr:to>
    <xdr:sp>
      <xdr:nvSpPr>
        <xdr:cNvPr id="5" name="Line 9"/>
        <xdr:cNvSpPr>
          <a:spLocks/>
        </xdr:cNvSpPr>
      </xdr:nvSpPr>
      <xdr:spPr>
        <a:xfrm flipH="1">
          <a:off x="3181350" y="7200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76200</xdr:rowOff>
    </xdr:from>
    <xdr:to>
      <xdr:col>11</xdr:col>
      <xdr:colOff>161925</xdr:colOff>
      <xdr:row>38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2571750" y="5467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142875</xdr:colOff>
      <xdr:row>56</xdr:row>
      <xdr:rowOff>76200</xdr:rowOff>
    </xdr:to>
    <xdr:sp>
      <xdr:nvSpPr>
        <xdr:cNvPr id="7" name="Line 11"/>
        <xdr:cNvSpPr>
          <a:spLocks/>
        </xdr:cNvSpPr>
      </xdr:nvSpPr>
      <xdr:spPr>
        <a:xfrm flipH="1">
          <a:off x="3171825" y="8086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12</xdr:col>
      <xdr:colOff>142875</xdr:colOff>
      <xdr:row>36</xdr:row>
      <xdr:rowOff>76200</xdr:rowOff>
    </xdr:to>
    <xdr:sp>
      <xdr:nvSpPr>
        <xdr:cNvPr id="8" name="Line 12"/>
        <xdr:cNvSpPr>
          <a:spLocks/>
        </xdr:cNvSpPr>
      </xdr:nvSpPr>
      <xdr:spPr>
        <a:xfrm flipH="1">
          <a:off x="3400425" y="5181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66675</xdr:rowOff>
    </xdr:from>
    <xdr:to>
      <xdr:col>9</xdr:col>
      <xdr:colOff>9525</xdr:colOff>
      <xdr:row>5</xdr:row>
      <xdr:rowOff>47625</xdr:rowOff>
    </xdr:to>
    <xdr:pic>
      <xdr:nvPicPr>
        <xdr:cNvPr id="9" name="Picture 13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5527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7</xdr:row>
      <xdr:rowOff>104775</xdr:rowOff>
    </xdr:from>
    <xdr:to>
      <xdr:col>20</xdr:col>
      <xdr:colOff>123825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743200" y="1171575"/>
          <a:ext cx="338137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38</xdr:row>
      <xdr:rowOff>76200</xdr:rowOff>
    </xdr:from>
    <xdr:to>
      <xdr:col>11</xdr:col>
      <xdr:colOff>161925</xdr:colOff>
      <xdr:row>54</xdr:row>
      <xdr:rowOff>76200</xdr:rowOff>
    </xdr:to>
    <xdr:sp>
      <xdr:nvSpPr>
        <xdr:cNvPr id="2" name="Line 6"/>
        <xdr:cNvSpPr>
          <a:spLocks/>
        </xdr:cNvSpPr>
      </xdr:nvSpPr>
      <xdr:spPr>
        <a:xfrm>
          <a:off x="3333750" y="54673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76200</xdr:rowOff>
    </xdr:from>
    <xdr:to>
      <xdr:col>12</xdr:col>
      <xdr:colOff>142875</xdr:colOff>
      <xdr:row>56</xdr:row>
      <xdr:rowOff>76200</xdr:rowOff>
    </xdr:to>
    <xdr:sp>
      <xdr:nvSpPr>
        <xdr:cNvPr id="3" name="Line 7"/>
        <xdr:cNvSpPr>
          <a:spLocks/>
        </xdr:cNvSpPr>
      </xdr:nvSpPr>
      <xdr:spPr>
        <a:xfrm>
          <a:off x="3629025" y="51816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54</xdr:row>
      <xdr:rowOff>76200</xdr:rowOff>
    </xdr:from>
    <xdr:to>
      <xdr:col>11</xdr:col>
      <xdr:colOff>161925</xdr:colOff>
      <xdr:row>54</xdr:row>
      <xdr:rowOff>76200</xdr:rowOff>
    </xdr:to>
    <xdr:sp>
      <xdr:nvSpPr>
        <xdr:cNvPr id="4" name="Line 8"/>
        <xdr:cNvSpPr>
          <a:spLocks/>
        </xdr:cNvSpPr>
      </xdr:nvSpPr>
      <xdr:spPr>
        <a:xfrm flipH="1">
          <a:off x="3181350" y="7791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85725</xdr:rowOff>
    </xdr:from>
    <xdr:to>
      <xdr:col>11</xdr:col>
      <xdr:colOff>161925</xdr:colOff>
      <xdr:row>50</xdr:row>
      <xdr:rowOff>85725</xdr:rowOff>
    </xdr:to>
    <xdr:sp>
      <xdr:nvSpPr>
        <xdr:cNvPr id="5" name="Line 9"/>
        <xdr:cNvSpPr>
          <a:spLocks/>
        </xdr:cNvSpPr>
      </xdr:nvSpPr>
      <xdr:spPr>
        <a:xfrm flipH="1">
          <a:off x="3181350" y="7200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76200</xdr:rowOff>
    </xdr:from>
    <xdr:to>
      <xdr:col>11</xdr:col>
      <xdr:colOff>161925</xdr:colOff>
      <xdr:row>38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2571750" y="5467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142875</xdr:colOff>
      <xdr:row>56</xdr:row>
      <xdr:rowOff>76200</xdr:rowOff>
    </xdr:to>
    <xdr:sp>
      <xdr:nvSpPr>
        <xdr:cNvPr id="7" name="Line 11"/>
        <xdr:cNvSpPr>
          <a:spLocks/>
        </xdr:cNvSpPr>
      </xdr:nvSpPr>
      <xdr:spPr>
        <a:xfrm flipH="1">
          <a:off x="3171825" y="8086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36</xdr:row>
      <xdr:rowOff>76200</xdr:rowOff>
    </xdr:from>
    <xdr:to>
      <xdr:col>12</xdr:col>
      <xdr:colOff>142875</xdr:colOff>
      <xdr:row>36</xdr:row>
      <xdr:rowOff>76200</xdr:rowOff>
    </xdr:to>
    <xdr:sp>
      <xdr:nvSpPr>
        <xdr:cNvPr id="8" name="Line 12"/>
        <xdr:cNvSpPr>
          <a:spLocks/>
        </xdr:cNvSpPr>
      </xdr:nvSpPr>
      <xdr:spPr>
        <a:xfrm flipH="1">
          <a:off x="3400425" y="5181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66675</xdr:rowOff>
    </xdr:from>
    <xdr:to>
      <xdr:col>9</xdr:col>
      <xdr:colOff>9525</xdr:colOff>
      <xdr:row>5</xdr:row>
      <xdr:rowOff>47625</xdr:rowOff>
    </xdr:to>
    <xdr:pic>
      <xdr:nvPicPr>
        <xdr:cNvPr id="9" name="Picture 13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5527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7</xdr:row>
      <xdr:rowOff>104775</xdr:rowOff>
    </xdr:from>
    <xdr:to>
      <xdr:col>25</xdr:col>
      <xdr:colOff>114300</xdr:colOff>
      <xdr:row>12</xdr:row>
      <xdr:rowOff>38100</xdr:rowOff>
    </xdr:to>
    <xdr:sp>
      <xdr:nvSpPr>
        <xdr:cNvPr id="1" name="AutoShape 12"/>
        <xdr:cNvSpPr>
          <a:spLocks/>
        </xdr:cNvSpPr>
      </xdr:nvSpPr>
      <xdr:spPr>
        <a:xfrm>
          <a:off x="4133850" y="1143000"/>
          <a:ext cx="4467225" cy="647700"/>
        </a:xfrm>
        <a:prstGeom prst="bracketPair">
          <a:avLst>
            <a:gd name="adj" fmla="val -3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57150</xdr:colOff>
      <xdr:row>2</xdr:row>
      <xdr:rowOff>142875</xdr:rowOff>
    </xdr:to>
    <xdr:pic>
      <xdr:nvPicPr>
        <xdr:cNvPr id="2" name="Picture 13" descr="best color CENT Grey_sc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527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zoomScale="140" zoomScaleNormal="140" zoomScalePageLayoutView="0" workbookViewId="0" topLeftCell="A1">
      <pane ySplit="2340" topLeftCell="A32" activePane="topLeft" state="split"/>
      <selection pane="topLeft" activeCell="A1" sqref="A1:IV16384"/>
      <selection pane="bottomLeft" activeCell="A49" sqref="A49"/>
    </sheetView>
  </sheetViews>
  <sheetFormatPr defaultColWidth="0" defaultRowHeight="12" zeroHeight="1"/>
  <cols>
    <col min="1" max="1" width="0.42578125" style="6" customWidth="1"/>
    <col min="2" max="23" width="4.7109375" style="6" customWidth="1"/>
    <col min="24" max="24" width="0.42578125" style="6" customWidth="1"/>
    <col min="25" max="16384" width="5.28125" style="6" hidden="1" customWidth="1"/>
  </cols>
  <sheetData>
    <row r="1" spans="2:23" s="1" customFormat="1" ht="12.75">
      <c r="B1" s="2" t="str">
        <f>"BASE CASE - Simple DU PONT FINANCIAL ANALYSIS MODEL: "&amp;IF(A102=1,"MARKET",IF(A102=2,"BOOK",NA()))&amp;" BASIS"</f>
        <v>BASE CASE - Simple DU PONT FINANCIAL ANALYSIS MODEL: MARKET BASIS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</row>
    <row r="3" spans="2:23" ht="120">
      <c r="B3" s="7"/>
      <c r="C3" s="7"/>
      <c r="D3" s="8"/>
      <c r="E3" s="7"/>
      <c r="F3" s="7"/>
      <c r="G3" s="7"/>
      <c r="H3" s="7"/>
      <c r="I3" s="7"/>
      <c r="J3" s="7"/>
      <c r="K3" s="132" t="s">
        <v>90</v>
      </c>
      <c r="L3" s="133"/>
      <c r="M3" s="133"/>
      <c r="N3" s="134"/>
      <c r="O3" s="8"/>
      <c r="P3" s="8"/>
      <c r="Q3" s="8"/>
      <c r="R3" s="8"/>
      <c r="S3" s="8"/>
      <c r="T3" s="7"/>
      <c r="U3" s="9"/>
      <c r="V3" s="7"/>
      <c r="W3" s="7"/>
    </row>
    <row r="4" spans="2:23" ht="12">
      <c r="B4" s="7"/>
      <c r="C4" s="7"/>
      <c r="D4" s="8"/>
      <c r="E4" s="7"/>
      <c r="F4" s="7"/>
      <c r="G4" s="7"/>
      <c r="H4" s="7"/>
      <c r="I4" s="7"/>
      <c r="J4" s="7"/>
      <c r="K4" s="135"/>
      <c r="L4" s="136"/>
      <c r="M4" s="136"/>
      <c r="N4" s="137"/>
      <c r="O4" s="8"/>
      <c r="P4" s="8"/>
      <c r="Q4" s="8"/>
      <c r="R4" s="8"/>
      <c r="S4" s="8"/>
      <c r="T4" s="7"/>
      <c r="U4" s="9"/>
      <c r="V4" s="8"/>
      <c r="W4" s="8"/>
    </row>
    <row r="5" spans="2:23" ht="12">
      <c r="B5" s="7"/>
      <c r="C5" s="7"/>
      <c r="D5" s="8"/>
      <c r="E5" s="7"/>
      <c r="F5" s="7"/>
      <c r="G5" s="7"/>
      <c r="H5" s="7"/>
      <c r="I5" s="7"/>
      <c r="J5" s="7"/>
      <c r="K5" s="135"/>
      <c r="L5" s="136"/>
      <c r="M5" s="136"/>
      <c r="N5" s="137"/>
      <c r="O5" s="8"/>
      <c r="P5" s="8"/>
      <c r="Q5" s="8"/>
      <c r="R5" s="8"/>
      <c r="S5" s="8"/>
      <c r="T5" s="7"/>
      <c r="U5" s="9"/>
      <c r="V5" s="8"/>
      <c r="W5" s="8"/>
    </row>
    <row r="6" spans="2:23" ht="12">
      <c r="B6" s="7"/>
      <c r="C6" s="7"/>
      <c r="D6" s="8"/>
      <c r="E6" s="7"/>
      <c r="F6" s="7"/>
      <c r="G6" s="7"/>
      <c r="H6" s="7"/>
      <c r="I6" s="7"/>
      <c r="J6" s="10"/>
      <c r="K6" s="162">
        <f>IF(AND(ISNUMBER(E12),ISNUMBER(K12),ISNUMBER(Q12)),E12+(K12*Q12),"n/a")</f>
        <v>0.05499999999999998</v>
      </c>
      <c r="L6" s="163"/>
      <c r="M6" s="163"/>
      <c r="N6" s="164"/>
      <c r="O6" s="8"/>
      <c r="P6" s="8"/>
      <c r="Q6" s="8"/>
      <c r="R6" s="8"/>
      <c r="S6" s="8"/>
      <c r="T6" s="7"/>
      <c r="U6" s="9"/>
      <c r="V6" s="8"/>
      <c r="W6" s="8"/>
    </row>
    <row r="7" spans="2:23" ht="11.25">
      <c r="B7" s="7"/>
      <c r="C7" s="7"/>
      <c r="D7" s="8"/>
      <c r="E7" s="7"/>
      <c r="F7" s="7"/>
      <c r="G7" s="7"/>
      <c r="H7" s="7"/>
      <c r="I7" s="7"/>
      <c r="J7" s="10"/>
      <c r="K7" s="8"/>
      <c r="L7" s="11"/>
      <c r="M7" s="9"/>
      <c r="N7" s="8"/>
      <c r="O7" s="8"/>
      <c r="P7" s="8"/>
      <c r="Q7" s="8"/>
      <c r="R7" s="8"/>
      <c r="S7" s="8"/>
      <c r="T7" s="7"/>
      <c r="U7" s="9"/>
      <c r="V7" s="8"/>
      <c r="W7" s="8"/>
    </row>
    <row r="8" spans="2:23" ht="11.25">
      <c r="B8" s="7"/>
      <c r="C8" s="7"/>
      <c r="D8" s="8"/>
      <c r="E8" s="7"/>
      <c r="F8" s="7"/>
      <c r="G8" s="12"/>
      <c r="H8" s="13"/>
      <c r="I8" s="13"/>
      <c r="J8" s="14"/>
      <c r="K8" s="15"/>
      <c r="L8" s="15"/>
      <c r="M8" s="16"/>
      <c r="N8" s="15"/>
      <c r="O8" s="15"/>
      <c r="P8" s="15"/>
      <c r="Q8" s="15"/>
      <c r="R8" s="13"/>
      <c r="S8" s="17"/>
      <c r="T8" s="9"/>
      <c r="U8" s="8"/>
      <c r="V8" s="8"/>
      <c r="W8" s="8"/>
    </row>
    <row r="9" spans="2:23" ht="11.25">
      <c r="B9" s="7"/>
      <c r="C9" s="7"/>
      <c r="D9" s="8"/>
      <c r="E9" s="144" t="str">
        <f>H15</f>
        <v>Return on average farm assets (ROA)</v>
      </c>
      <c r="F9" s="152"/>
      <c r="G9" s="152"/>
      <c r="H9" s="153"/>
      <c r="I9" s="8"/>
      <c r="J9" s="8"/>
      <c r="K9" s="132" t="s">
        <v>65</v>
      </c>
      <c r="L9" s="133"/>
      <c r="M9" s="133"/>
      <c r="N9" s="134"/>
      <c r="O9" s="8"/>
      <c r="P9" s="8"/>
      <c r="Q9" s="144" t="str">
        <f>T15</f>
        <v>Average debt/equity ratio</v>
      </c>
      <c r="R9" s="152"/>
      <c r="S9" s="152"/>
      <c r="T9" s="153"/>
      <c r="U9" s="8"/>
      <c r="V9" s="8"/>
      <c r="W9" s="8"/>
    </row>
    <row r="10" spans="2:23" ht="11.25">
      <c r="B10" s="7"/>
      <c r="C10" s="7"/>
      <c r="D10" s="8"/>
      <c r="E10" s="154"/>
      <c r="F10" s="143"/>
      <c r="G10" s="143"/>
      <c r="H10" s="155"/>
      <c r="I10" s="143" t="s">
        <v>3</v>
      </c>
      <c r="J10" s="131"/>
      <c r="K10" s="135"/>
      <c r="L10" s="136"/>
      <c r="M10" s="136"/>
      <c r="N10" s="137"/>
      <c r="O10" s="138" t="s">
        <v>0</v>
      </c>
      <c r="P10" s="139"/>
      <c r="Q10" s="154"/>
      <c r="R10" s="143"/>
      <c r="S10" s="143"/>
      <c r="T10" s="155"/>
      <c r="U10" s="8"/>
      <c r="V10" s="19"/>
      <c r="W10" s="8"/>
    </row>
    <row r="11" spans="2:23" ht="11.25">
      <c r="B11" s="7"/>
      <c r="C11" s="7"/>
      <c r="D11" s="8"/>
      <c r="E11" s="154"/>
      <c r="F11" s="143"/>
      <c r="G11" s="143"/>
      <c r="H11" s="155"/>
      <c r="I11" s="143"/>
      <c r="J11" s="131"/>
      <c r="K11" s="135"/>
      <c r="L11" s="136"/>
      <c r="M11" s="136"/>
      <c r="N11" s="137"/>
      <c r="O11" s="138"/>
      <c r="P11" s="139"/>
      <c r="Q11" s="154"/>
      <c r="R11" s="143"/>
      <c r="S11" s="143"/>
      <c r="T11" s="155"/>
      <c r="U11" s="20"/>
      <c r="V11" s="19"/>
      <c r="W11" s="8"/>
    </row>
    <row r="12" spans="2:23" ht="11.25">
      <c r="B12" s="7"/>
      <c r="C12" s="7"/>
      <c r="D12" s="8"/>
      <c r="E12" s="149">
        <f>H18</f>
        <v>0.06777777777777777</v>
      </c>
      <c r="F12" s="150"/>
      <c r="G12" s="150"/>
      <c r="H12" s="151"/>
      <c r="I12" s="8"/>
      <c r="J12" s="8"/>
      <c r="K12" s="162">
        <f>IF(AND(ISNUMBER(H18),ISNUMBER(N18)),H18-N18,"n/a")</f>
        <v>-0.01022222222222223</v>
      </c>
      <c r="L12" s="163"/>
      <c r="M12" s="163"/>
      <c r="N12" s="164"/>
      <c r="O12" s="8"/>
      <c r="P12" s="8"/>
      <c r="Q12" s="156">
        <f>T18</f>
        <v>1.25</v>
      </c>
      <c r="R12" s="157"/>
      <c r="S12" s="157"/>
      <c r="T12" s="158"/>
      <c r="U12" s="21"/>
      <c r="V12" s="8"/>
      <c r="W12" s="8"/>
    </row>
    <row r="13" spans="2:23" ht="11.25">
      <c r="B13" s="7"/>
      <c r="C13" s="7"/>
      <c r="D13" s="7"/>
      <c r="E13" s="7"/>
      <c r="F13" s="7"/>
      <c r="G13" s="22"/>
      <c r="H13" s="8"/>
      <c r="I13" s="8"/>
      <c r="J13" s="8"/>
      <c r="K13" s="8"/>
      <c r="L13" s="8"/>
      <c r="M13" s="23"/>
      <c r="N13" s="8"/>
      <c r="O13" s="8"/>
      <c r="P13" s="8"/>
      <c r="Q13" s="8"/>
      <c r="R13" s="8"/>
      <c r="S13" s="8"/>
      <c r="T13" s="8"/>
      <c r="U13" s="21"/>
      <c r="V13" s="8"/>
      <c r="W13" s="8"/>
    </row>
    <row r="14" spans="2:23" ht="11.25">
      <c r="B14" s="7"/>
      <c r="C14" s="7"/>
      <c r="D14" s="7"/>
      <c r="E14" s="7"/>
      <c r="F14" s="7"/>
      <c r="G14" s="22"/>
      <c r="H14" s="7"/>
      <c r="I14" s="7"/>
      <c r="J14" s="24"/>
      <c r="K14" s="13"/>
      <c r="L14" s="13"/>
      <c r="M14" s="7"/>
      <c r="N14" s="13"/>
      <c r="O14" s="13"/>
      <c r="P14" s="25"/>
      <c r="Q14" s="7"/>
      <c r="R14" s="8"/>
      <c r="S14" s="8"/>
      <c r="T14" s="7"/>
      <c r="U14" s="26"/>
      <c r="V14" s="8"/>
      <c r="W14" s="8"/>
    </row>
    <row r="15" spans="2:23" ht="11.25">
      <c r="B15" s="8"/>
      <c r="C15" s="8"/>
      <c r="D15" s="8"/>
      <c r="E15" s="8"/>
      <c r="F15" s="8"/>
      <c r="G15" s="27"/>
      <c r="H15" s="132" t="s">
        <v>62</v>
      </c>
      <c r="I15" s="133"/>
      <c r="J15" s="133"/>
      <c r="K15" s="134"/>
      <c r="L15" s="9"/>
      <c r="M15" s="8"/>
      <c r="N15" s="144" t="s">
        <v>64</v>
      </c>
      <c r="O15" s="145"/>
      <c r="P15" s="145"/>
      <c r="Q15" s="146"/>
      <c r="R15" s="8"/>
      <c r="S15" s="8"/>
      <c r="T15" s="132" t="s">
        <v>54</v>
      </c>
      <c r="U15" s="133"/>
      <c r="V15" s="133"/>
      <c r="W15" s="134"/>
    </row>
    <row r="16" spans="2:23" ht="11.25">
      <c r="B16" s="7"/>
      <c r="C16" s="7"/>
      <c r="D16" s="8"/>
      <c r="E16" s="8"/>
      <c r="F16" s="8"/>
      <c r="G16" s="28"/>
      <c r="H16" s="135"/>
      <c r="I16" s="136"/>
      <c r="J16" s="136"/>
      <c r="K16" s="137"/>
      <c r="L16" s="130" t="s">
        <v>52</v>
      </c>
      <c r="M16" s="143"/>
      <c r="N16" s="147"/>
      <c r="O16" s="136"/>
      <c r="P16" s="136"/>
      <c r="Q16" s="148"/>
      <c r="R16" s="8"/>
      <c r="S16" s="8"/>
      <c r="T16" s="135"/>
      <c r="U16" s="136"/>
      <c r="V16" s="136"/>
      <c r="W16" s="137"/>
    </row>
    <row r="17" spans="2:23" ht="11.25">
      <c r="B17" s="7"/>
      <c r="C17" s="7"/>
      <c r="D17" s="8"/>
      <c r="E17" s="8"/>
      <c r="F17" s="8"/>
      <c r="G17" s="8"/>
      <c r="H17" s="135"/>
      <c r="I17" s="136"/>
      <c r="J17" s="136"/>
      <c r="K17" s="137"/>
      <c r="L17" s="130"/>
      <c r="M17" s="143"/>
      <c r="N17" s="147"/>
      <c r="O17" s="136"/>
      <c r="P17" s="136"/>
      <c r="Q17" s="148"/>
      <c r="R17" s="8"/>
      <c r="S17" s="8"/>
      <c r="T17" s="135"/>
      <c r="U17" s="136"/>
      <c r="V17" s="136"/>
      <c r="W17" s="137"/>
    </row>
    <row r="18" spans="2:23" ht="11.25">
      <c r="B18" s="8"/>
      <c r="C18" s="8"/>
      <c r="D18" s="8"/>
      <c r="E18" s="8"/>
      <c r="F18" s="8"/>
      <c r="G18" s="8"/>
      <c r="H18" s="162">
        <f>IF(AND(ISNUMBER(E24),ISNUMBER(K24)),E24*K24,"n/a")</f>
        <v>0.06777777777777777</v>
      </c>
      <c r="I18" s="163"/>
      <c r="J18" s="163"/>
      <c r="K18" s="164"/>
      <c r="L18" s="9"/>
      <c r="M18" s="8"/>
      <c r="N18" s="149">
        <f>IF(T30,B36/T30,"n/a")</f>
        <v>0.078</v>
      </c>
      <c r="O18" s="150"/>
      <c r="P18" s="150"/>
      <c r="Q18" s="151"/>
      <c r="R18" s="8"/>
      <c r="S18" s="8"/>
      <c r="T18" s="159">
        <f>IF(Q24,T30/Q24,"n/a")</f>
        <v>1.25</v>
      </c>
      <c r="U18" s="160"/>
      <c r="V18" s="160"/>
      <c r="W18" s="161"/>
    </row>
    <row r="19" spans="2:23" ht="11.25">
      <c r="B19" s="7"/>
      <c r="C19" s="7"/>
      <c r="D19" s="7"/>
      <c r="E19" s="7"/>
      <c r="F19" s="7"/>
      <c r="G19" s="18"/>
      <c r="H19" s="29"/>
      <c r="I19" s="29"/>
      <c r="J19" s="24"/>
      <c r="K19" s="29"/>
      <c r="L19" s="29"/>
      <c r="M19" s="7"/>
      <c r="N19" s="7"/>
      <c r="O19" s="7"/>
      <c r="P19" s="7"/>
      <c r="Q19" s="9"/>
      <c r="R19" s="7"/>
      <c r="S19" s="7"/>
      <c r="T19" s="7"/>
      <c r="U19" s="11"/>
      <c r="V19" s="19"/>
      <c r="W19" s="8"/>
    </row>
    <row r="20" spans="2:23" ht="11.25">
      <c r="B20" s="8"/>
      <c r="C20" s="8"/>
      <c r="D20" s="8"/>
      <c r="E20" s="7"/>
      <c r="F20" s="7"/>
      <c r="G20" s="24"/>
      <c r="H20" s="30"/>
      <c r="I20" s="7"/>
      <c r="J20" s="7"/>
      <c r="K20" s="7"/>
      <c r="L20" s="31"/>
      <c r="M20" s="29"/>
      <c r="N20" s="7"/>
      <c r="O20" s="7"/>
      <c r="P20" s="7"/>
      <c r="Q20" s="8"/>
      <c r="R20" s="8"/>
      <c r="S20" s="24"/>
      <c r="T20" s="15"/>
      <c r="U20" s="32"/>
      <c r="V20" s="19"/>
      <c r="W20" s="8"/>
    </row>
    <row r="21" spans="2:23" ht="11.25">
      <c r="B21" s="8"/>
      <c r="C21" s="8"/>
      <c r="D21" s="8"/>
      <c r="E21" s="132" t="s">
        <v>53</v>
      </c>
      <c r="F21" s="133"/>
      <c r="G21" s="133"/>
      <c r="H21" s="134"/>
      <c r="I21" s="8"/>
      <c r="J21" s="7"/>
      <c r="K21" s="132" t="s">
        <v>63</v>
      </c>
      <c r="L21" s="133"/>
      <c r="M21" s="133"/>
      <c r="N21" s="134"/>
      <c r="O21" s="9"/>
      <c r="P21" s="9"/>
      <c r="Q21" s="132" t="str">
        <f>"Average farm
equity, "&amp;IF(A102=1,"market",IF(A102=2,"book","n/a"))</f>
        <v>Average farm
equity, market</v>
      </c>
      <c r="R21" s="133"/>
      <c r="S21" s="133"/>
      <c r="T21" s="134"/>
      <c r="U21" s="33"/>
      <c r="V21" s="8"/>
      <c r="W21" s="8"/>
    </row>
    <row r="22" spans="2:23" ht="11.25">
      <c r="B22" s="8"/>
      <c r="C22" s="8"/>
      <c r="D22" s="8"/>
      <c r="E22" s="135"/>
      <c r="F22" s="136"/>
      <c r="G22" s="136"/>
      <c r="H22" s="137"/>
      <c r="I22" s="138" t="s">
        <v>0</v>
      </c>
      <c r="J22" s="139"/>
      <c r="K22" s="135"/>
      <c r="L22" s="136"/>
      <c r="M22" s="136"/>
      <c r="N22" s="137"/>
      <c r="O22" s="9"/>
      <c r="P22" s="7"/>
      <c r="Q22" s="135"/>
      <c r="R22" s="136"/>
      <c r="S22" s="136"/>
      <c r="T22" s="137"/>
      <c r="U22" s="138" t="s">
        <v>1</v>
      </c>
      <c r="V22" s="140"/>
      <c r="W22" s="8"/>
    </row>
    <row r="23" spans="2:23" ht="11.25">
      <c r="B23" s="8"/>
      <c r="C23" s="8"/>
      <c r="D23" s="8"/>
      <c r="E23" s="135"/>
      <c r="F23" s="136"/>
      <c r="G23" s="136"/>
      <c r="H23" s="137"/>
      <c r="I23" s="138"/>
      <c r="J23" s="139"/>
      <c r="K23" s="135"/>
      <c r="L23" s="136"/>
      <c r="M23" s="136"/>
      <c r="N23" s="137"/>
      <c r="O23" s="9"/>
      <c r="P23" s="7"/>
      <c r="Q23" s="135"/>
      <c r="R23" s="136"/>
      <c r="S23" s="136"/>
      <c r="T23" s="137"/>
      <c r="U23" s="138"/>
      <c r="V23" s="140"/>
      <c r="W23" s="8"/>
    </row>
    <row r="24" spans="2:23" ht="11.25">
      <c r="B24" s="8"/>
      <c r="C24" s="8"/>
      <c r="D24" s="8"/>
      <c r="E24" s="162">
        <f>IF(H30,B30/H30,"n/a")</f>
        <v>0.15721649484536082</v>
      </c>
      <c r="F24" s="163"/>
      <c r="G24" s="163"/>
      <c r="H24" s="164"/>
      <c r="I24" s="8"/>
      <c r="J24" s="7"/>
      <c r="K24" s="162">
        <f>IF(N30,H30/N30,"n/a")</f>
        <v>0.4311111111111111</v>
      </c>
      <c r="L24" s="163"/>
      <c r="M24" s="163"/>
      <c r="N24" s="164"/>
      <c r="O24" s="9"/>
      <c r="P24" s="9"/>
      <c r="Q24" s="119">
        <f>N30-T30</f>
        <v>800000</v>
      </c>
      <c r="R24" s="120"/>
      <c r="S24" s="120"/>
      <c r="T24" s="121"/>
      <c r="U24" s="33"/>
      <c r="V24" s="8"/>
      <c r="W24" s="8"/>
    </row>
    <row r="25" spans="2:23" ht="11.25">
      <c r="B25" s="8"/>
      <c r="C25" s="8"/>
      <c r="D25" s="8"/>
      <c r="E25" s="8"/>
      <c r="F25" s="34"/>
      <c r="G25" s="24"/>
      <c r="H25" s="30"/>
      <c r="I25" s="29"/>
      <c r="J25" s="29"/>
      <c r="K25" s="29"/>
      <c r="L25" s="29"/>
      <c r="M25" s="24"/>
      <c r="N25" s="35"/>
      <c r="O25" s="29"/>
      <c r="P25" s="7"/>
      <c r="Q25" s="8"/>
      <c r="R25" s="11"/>
      <c r="S25" s="8"/>
      <c r="T25" s="8"/>
      <c r="U25" s="36"/>
      <c r="V25" s="19"/>
      <c r="W25" s="19"/>
    </row>
    <row r="26" spans="2:23" ht="11.25">
      <c r="B26" s="34"/>
      <c r="C26" s="37"/>
      <c r="D26" s="35"/>
      <c r="E26" s="38"/>
      <c r="F26" s="8"/>
      <c r="G26" s="7"/>
      <c r="H26" s="7"/>
      <c r="I26" s="7"/>
      <c r="J26" s="24"/>
      <c r="K26" s="35"/>
      <c r="L26" s="7"/>
      <c r="M26" s="7"/>
      <c r="N26" s="35"/>
      <c r="O26" s="31"/>
      <c r="P26" s="13"/>
      <c r="Q26" s="13"/>
      <c r="R26" s="13"/>
      <c r="S26" s="15"/>
      <c r="T26" s="15"/>
      <c r="U26" s="11"/>
      <c r="V26" s="39"/>
      <c r="W26" s="19"/>
    </row>
    <row r="27" spans="2:23" ht="12" customHeight="1">
      <c r="B27" s="132" t="s">
        <v>122</v>
      </c>
      <c r="C27" s="133"/>
      <c r="D27" s="133"/>
      <c r="E27" s="134"/>
      <c r="F27" s="8"/>
      <c r="G27" s="7"/>
      <c r="H27" s="132" t="s">
        <v>61</v>
      </c>
      <c r="I27" s="133"/>
      <c r="J27" s="133"/>
      <c r="K27" s="134"/>
      <c r="L27" s="8"/>
      <c r="M27" s="9"/>
      <c r="N27" s="132" t="str">
        <f>"Average farm
assets, "&amp;IF(A102=1,"market",IF(A102=2,"book","n/a"))</f>
        <v>Average farm
assets, market</v>
      </c>
      <c r="O27" s="133"/>
      <c r="P27" s="133"/>
      <c r="Q27" s="134"/>
      <c r="R27" s="9"/>
      <c r="S27" s="8"/>
      <c r="T27" s="132" t="s">
        <v>74</v>
      </c>
      <c r="U27" s="133"/>
      <c r="V27" s="133"/>
      <c r="W27" s="134"/>
    </row>
    <row r="28" spans="2:23" ht="12" customHeight="1">
      <c r="B28" s="135"/>
      <c r="C28" s="136"/>
      <c r="D28" s="136"/>
      <c r="E28" s="137"/>
      <c r="F28" s="143" t="s">
        <v>60</v>
      </c>
      <c r="G28" s="165"/>
      <c r="H28" s="135"/>
      <c r="I28" s="136"/>
      <c r="J28" s="136"/>
      <c r="K28" s="137"/>
      <c r="L28" s="143" t="s">
        <v>60</v>
      </c>
      <c r="M28" s="165"/>
      <c r="N28" s="135"/>
      <c r="O28" s="136"/>
      <c r="P28" s="136"/>
      <c r="Q28" s="137"/>
      <c r="R28" s="130" t="s">
        <v>55</v>
      </c>
      <c r="S28" s="131"/>
      <c r="T28" s="135"/>
      <c r="U28" s="136"/>
      <c r="V28" s="136"/>
      <c r="W28" s="137"/>
    </row>
    <row r="29" spans="2:23" ht="11.25">
      <c r="B29" s="135"/>
      <c r="C29" s="136"/>
      <c r="D29" s="136"/>
      <c r="E29" s="137"/>
      <c r="F29" s="165"/>
      <c r="G29" s="165"/>
      <c r="H29" s="135"/>
      <c r="I29" s="136"/>
      <c r="J29" s="136"/>
      <c r="K29" s="137"/>
      <c r="L29" s="165"/>
      <c r="M29" s="165"/>
      <c r="N29" s="135"/>
      <c r="O29" s="136"/>
      <c r="P29" s="136"/>
      <c r="Q29" s="137"/>
      <c r="R29" s="130"/>
      <c r="S29" s="131"/>
      <c r="T29" s="135"/>
      <c r="U29" s="136"/>
      <c r="V29" s="136"/>
      <c r="W29" s="137"/>
    </row>
    <row r="30" spans="2:23" ht="11.25">
      <c r="B30" s="119">
        <f>B37+B36-B38</f>
        <v>122000</v>
      </c>
      <c r="C30" s="120"/>
      <c r="D30" s="120"/>
      <c r="E30" s="121"/>
      <c r="F30" s="8"/>
      <c r="G30" s="7"/>
      <c r="H30" s="119">
        <f>B33</f>
        <v>776000</v>
      </c>
      <c r="I30" s="120"/>
      <c r="J30" s="120"/>
      <c r="K30" s="121"/>
      <c r="L30" s="8"/>
      <c r="M30" s="9"/>
      <c r="N30" s="119">
        <f>IF(A102=1,B41+B42,IF(A102=2,B41+B43,"n/a"))</f>
        <v>1800000</v>
      </c>
      <c r="O30" s="120"/>
      <c r="P30" s="120"/>
      <c r="Q30" s="121"/>
      <c r="R30" s="9"/>
      <c r="S30" s="8"/>
      <c r="T30" s="119">
        <f>B44+B45</f>
        <v>1000000</v>
      </c>
      <c r="U30" s="120"/>
      <c r="V30" s="120"/>
      <c r="W30" s="121"/>
    </row>
    <row r="31" spans="2:23" ht="6" customHeight="1" thickBo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12" customHeight="1">
      <c r="B33" s="166">
        <f>776000+0</f>
        <v>776000</v>
      </c>
      <c r="C33" s="167"/>
      <c r="D33" s="168"/>
      <c r="E33" s="105" t="s">
        <v>72</v>
      </c>
      <c r="G33" s="47"/>
      <c r="H33" s="47"/>
      <c r="I33" s="47"/>
      <c r="J33" s="106"/>
      <c r="K33" s="106"/>
      <c r="Q33" s="126" t="s">
        <v>113</v>
      </c>
      <c r="R33" s="126"/>
      <c r="S33" s="126"/>
      <c r="T33" s="126"/>
      <c r="U33" s="126"/>
      <c r="V33" s="126"/>
      <c r="W33" s="126"/>
    </row>
    <row r="34" spans="2:23" ht="11.25">
      <c r="B34" s="166">
        <f>499000+0</f>
        <v>499000</v>
      </c>
      <c r="C34" s="167"/>
      <c r="D34" s="168"/>
      <c r="E34" s="105" t="s">
        <v>68</v>
      </c>
      <c r="G34" s="47"/>
      <c r="H34" s="47"/>
      <c r="I34" s="47"/>
      <c r="J34" s="106"/>
      <c r="K34" s="106"/>
      <c r="Q34" s="6" t="s">
        <v>114</v>
      </c>
      <c r="V34" s="141">
        <f>IF(B44,B41/B44,"n/a")</f>
        <v>1.5</v>
      </c>
      <c r="W34" s="141"/>
    </row>
    <row r="35" spans="2:23" ht="11.25">
      <c r="B35" s="166">
        <v>95000</v>
      </c>
      <c r="C35" s="167"/>
      <c r="D35" s="168"/>
      <c r="E35" s="105" t="s">
        <v>69</v>
      </c>
      <c r="G35" s="47"/>
      <c r="H35" s="47"/>
      <c r="I35" s="47"/>
      <c r="J35" s="47"/>
      <c r="K35" s="106"/>
      <c r="Q35" s="6" t="s">
        <v>115</v>
      </c>
      <c r="U35" s="142">
        <f>IF(B44,B41-B44,"n/a")</f>
        <v>100000</v>
      </c>
      <c r="V35" s="142"/>
      <c r="W35" s="142"/>
    </row>
    <row r="36" spans="2:11" ht="11.25">
      <c r="B36" s="166">
        <v>78000</v>
      </c>
      <c r="C36" s="167"/>
      <c r="D36" s="168"/>
      <c r="E36" s="105" t="s">
        <v>70</v>
      </c>
      <c r="G36" s="47"/>
      <c r="H36" s="47"/>
      <c r="I36" s="47"/>
      <c r="J36" s="47"/>
      <c r="K36" s="106"/>
    </row>
    <row r="37" spans="2:23" ht="11.25">
      <c r="B37" s="169">
        <f>B33-B34-B35-B36</f>
        <v>104000</v>
      </c>
      <c r="C37" s="169"/>
      <c r="D37" s="169"/>
      <c r="E37" s="107" t="s">
        <v>71</v>
      </c>
      <c r="G37" s="47"/>
      <c r="H37" s="47"/>
      <c r="I37" s="47"/>
      <c r="J37" s="47"/>
      <c r="K37" s="106"/>
      <c r="Q37" s="126" t="s">
        <v>98</v>
      </c>
      <c r="R37" s="126"/>
      <c r="S37" s="126"/>
      <c r="T37" s="126"/>
      <c r="U37" s="126"/>
      <c r="V37" s="126"/>
      <c r="W37" s="126"/>
    </row>
    <row r="38" spans="2:23" ht="11.25">
      <c r="B38" s="166">
        <f>60000+0</f>
        <v>60000</v>
      </c>
      <c r="C38" s="167"/>
      <c r="D38" s="168"/>
      <c r="E38" s="108" t="s">
        <v>108</v>
      </c>
      <c r="H38" s="109"/>
      <c r="I38" s="47"/>
      <c r="J38" s="110"/>
      <c r="K38" s="106"/>
      <c r="Q38" s="6" t="s">
        <v>99</v>
      </c>
      <c r="V38" s="122">
        <f>IF(B42,B45/B42,"n/a")</f>
        <v>0.5333333333333333</v>
      </c>
      <c r="W38" s="122"/>
    </row>
    <row r="39" spans="2:23" ht="11.25">
      <c r="B39" s="169">
        <f>B37-B38</f>
        <v>44000</v>
      </c>
      <c r="C39" s="169"/>
      <c r="D39" s="169"/>
      <c r="E39" s="107" t="s">
        <v>109</v>
      </c>
      <c r="H39" s="109"/>
      <c r="I39" s="47"/>
      <c r="J39" s="110"/>
      <c r="K39" s="106"/>
      <c r="P39" s="63"/>
      <c r="Q39" s="6" t="s">
        <v>100</v>
      </c>
      <c r="V39" s="122">
        <f>IF(B43,B45/B43,"n/a")</f>
        <v>0.6666666666666666</v>
      </c>
      <c r="W39" s="122"/>
    </row>
    <row r="40" spans="2:23" ht="11.25">
      <c r="B40" s="111"/>
      <c r="C40" s="111"/>
      <c r="D40" s="111"/>
      <c r="E40" s="107"/>
      <c r="H40" s="109"/>
      <c r="I40" s="47"/>
      <c r="J40" s="110"/>
      <c r="K40" s="106"/>
      <c r="P40" s="63"/>
      <c r="Q40" s="6" t="s">
        <v>102</v>
      </c>
      <c r="V40" s="122">
        <f>IF(B42,(B42-B45)/B42,"n/a")</f>
        <v>0.4666666666666667</v>
      </c>
      <c r="W40" s="122"/>
    </row>
    <row r="41" spans="2:23" ht="11.25">
      <c r="B41" s="170">
        <v>300000</v>
      </c>
      <c r="C41" s="171"/>
      <c r="D41" s="172"/>
      <c r="E41" s="105" t="s">
        <v>124</v>
      </c>
      <c r="H41" s="109"/>
      <c r="I41" s="47"/>
      <c r="J41" s="110"/>
      <c r="K41" s="106"/>
      <c r="P41" s="63"/>
      <c r="Q41" s="6" t="s">
        <v>101</v>
      </c>
      <c r="V41" s="122">
        <f>IF(B43,(B43-B45)/B43,"n/a")</f>
        <v>0.3333333333333333</v>
      </c>
      <c r="W41" s="122"/>
    </row>
    <row r="42" spans="2:23" ht="11.25">
      <c r="B42" s="166">
        <f>1500000+0</f>
        <v>1500000</v>
      </c>
      <c r="C42" s="167"/>
      <c r="D42" s="168"/>
      <c r="E42" s="105" t="s">
        <v>111</v>
      </c>
      <c r="H42" s="109"/>
      <c r="I42" s="47"/>
      <c r="J42" s="110"/>
      <c r="K42" s="106"/>
      <c r="P42" s="63"/>
      <c r="Q42" s="6" t="s">
        <v>103</v>
      </c>
      <c r="V42" s="175">
        <f>IF((B42-B45),B45/(B42-B45),"n/a")</f>
        <v>1.1428571428571428</v>
      </c>
      <c r="W42" s="141"/>
    </row>
    <row r="43" spans="2:23" ht="12" customHeight="1">
      <c r="B43" s="166">
        <f>1200000+0</f>
        <v>1200000</v>
      </c>
      <c r="C43" s="167"/>
      <c r="D43" s="168"/>
      <c r="E43" s="105" t="s">
        <v>110</v>
      </c>
      <c r="H43" s="47"/>
      <c r="I43" s="47"/>
      <c r="J43" s="106"/>
      <c r="K43" s="106"/>
      <c r="L43" s="63"/>
      <c r="M43" s="63"/>
      <c r="N43" s="63"/>
      <c r="O43" s="63"/>
      <c r="P43" s="63"/>
      <c r="Q43" s="6" t="s">
        <v>104</v>
      </c>
      <c r="R43" s="63"/>
      <c r="S43" s="63"/>
      <c r="V43" s="141">
        <f>IF((B43-B45),B45/(B43-B45),"n/a")</f>
        <v>2</v>
      </c>
      <c r="W43" s="141"/>
    </row>
    <row r="44" spans="2:19" ht="11.25">
      <c r="B44" s="170">
        <f>200000+0</f>
        <v>200000</v>
      </c>
      <c r="C44" s="171"/>
      <c r="D44" s="172"/>
      <c r="E44" s="105" t="s">
        <v>125</v>
      </c>
      <c r="H44" s="47"/>
      <c r="I44" s="47"/>
      <c r="J44" s="106"/>
      <c r="K44" s="106"/>
      <c r="L44" s="63"/>
      <c r="M44" s="63"/>
      <c r="N44" s="63"/>
      <c r="O44" s="63"/>
      <c r="Q44" s="63"/>
      <c r="R44" s="63"/>
      <c r="S44" s="63"/>
    </row>
    <row r="45" spans="2:23" ht="11.25">
      <c r="B45" s="166">
        <v>800000</v>
      </c>
      <c r="C45" s="167"/>
      <c r="D45" s="168"/>
      <c r="E45" s="105" t="s">
        <v>112</v>
      </c>
      <c r="N45" s="63"/>
      <c r="O45" s="63"/>
      <c r="Q45" s="126" t="s">
        <v>76</v>
      </c>
      <c r="R45" s="126"/>
      <c r="S45" s="126"/>
      <c r="T45" s="126"/>
      <c r="U45" s="126"/>
      <c r="V45" s="126"/>
      <c r="W45" s="126"/>
    </row>
    <row r="46" spans="17:23" ht="11.25">
      <c r="Q46" s="6" t="s">
        <v>56</v>
      </c>
      <c r="V46" s="122">
        <f>IF($B$33,B34/$B$33,"n/a")</f>
        <v>0.6430412371134021</v>
      </c>
      <c r="W46" s="122"/>
    </row>
    <row r="47" spans="2:23" ht="11.25">
      <c r="B47" s="6" t="str">
        <f>"Average farm assets, "&amp;IF(A102=1,"market",IF(A102=2,"book","n/a"))</f>
        <v>Average farm assets, market</v>
      </c>
      <c r="I47" s="176">
        <f>N30</f>
        <v>1800000</v>
      </c>
      <c r="J47" s="176"/>
      <c r="K47" s="176"/>
      <c r="Q47" s="6" t="s">
        <v>57</v>
      </c>
      <c r="V47" s="122">
        <f>IF($B$33,B35/$B$33,"n/a")</f>
        <v>0.12242268041237113</v>
      </c>
      <c r="W47" s="122"/>
    </row>
    <row r="48" spans="2:23" ht="11.25">
      <c r="B48" s="6" t="s">
        <v>92</v>
      </c>
      <c r="H48" s="102" t="s">
        <v>96</v>
      </c>
      <c r="I48" s="128">
        <f>H18</f>
        <v>0.06777777777777777</v>
      </c>
      <c r="J48" s="129"/>
      <c r="K48" s="129"/>
      <c r="L48" s="63"/>
      <c r="M48" s="63"/>
      <c r="Q48" s="6" t="s">
        <v>58</v>
      </c>
      <c r="V48" s="122">
        <f>IF($B$33,B36/$B$33,"n/a")</f>
        <v>0.10051546391752578</v>
      </c>
      <c r="W48" s="122"/>
    </row>
    <row r="49" spans="2:23" ht="11.25">
      <c r="B49" s="6" t="s">
        <v>93</v>
      </c>
      <c r="H49" s="103" t="s">
        <v>91</v>
      </c>
      <c r="I49" s="127">
        <f>IF(AND(ISNUMBER(I47),ISNUMBER(I48)),I47*I48,"n/a")</f>
        <v>121999.99999999999</v>
      </c>
      <c r="J49" s="127"/>
      <c r="K49" s="125"/>
      <c r="L49" s="63"/>
      <c r="M49" s="63"/>
      <c r="Q49" s="6" t="s">
        <v>59</v>
      </c>
      <c r="V49" s="122">
        <f>IF($B$33,B37/$B$33,"n/a")</f>
        <v>0.13402061855670103</v>
      </c>
      <c r="W49" s="122"/>
    </row>
    <row r="50" spans="2:16" ht="11.25">
      <c r="B50" s="6" t="s">
        <v>94</v>
      </c>
      <c r="H50" s="102" t="s">
        <v>95</v>
      </c>
      <c r="I50" s="123">
        <f>B36</f>
        <v>78000</v>
      </c>
      <c r="J50" s="123"/>
      <c r="K50" s="177"/>
      <c r="L50" s="63"/>
      <c r="M50" s="63"/>
      <c r="N50" s="63"/>
      <c r="O50" s="63"/>
      <c r="P50" s="63"/>
    </row>
    <row r="51" spans="2:13" ht="12" customHeight="1">
      <c r="B51" s="6" t="s">
        <v>107</v>
      </c>
      <c r="H51" s="103" t="s">
        <v>91</v>
      </c>
      <c r="I51" s="124">
        <f>IF(AND(ISNUMBER(I49),ISNUMBER(I50)),I49-I50,"n/a")</f>
        <v>43999.999999999985</v>
      </c>
      <c r="J51" s="124"/>
      <c r="K51" s="125"/>
      <c r="L51" s="63"/>
      <c r="M51" s="63"/>
    </row>
    <row r="52" spans="14:23" ht="11.25">
      <c r="N52" s="173" t="s">
        <v>105</v>
      </c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ht="12" customHeight="1">
      <c r="B53" s="6" t="str">
        <f>"Average farm equity, "&amp;IF(A102=1,"market",IF(A102=2,"book","n/a"))</f>
        <v>Average farm equity, market</v>
      </c>
      <c r="I53" s="176">
        <f>Q24</f>
        <v>800000</v>
      </c>
      <c r="J53" s="176"/>
      <c r="K53" s="176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ht="12" customHeight="1">
      <c r="B54" s="6" t="s">
        <v>97</v>
      </c>
      <c r="H54" s="102" t="s">
        <v>96</v>
      </c>
      <c r="I54" s="128">
        <f>K6</f>
        <v>0.05499999999999998</v>
      </c>
      <c r="J54" s="129"/>
      <c r="K54" s="129"/>
      <c r="N54" s="174" t="s">
        <v>127</v>
      </c>
      <c r="O54" s="174"/>
      <c r="P54" s="174"/>
      <c r="Q54" s="174"/>
      <c r="R54" s="174"/>
      <c r="S54" s="174"/>
      <c r="T54" s="174"/>
      <c r="U54" s="174"/>
      <c r="V54" s="174"/>
      <c r="W54" s="174"/>
    </row>
    <row r="55" spans="2:23" ht="12" customHeight="1">
      <c r="B55" s="6" t="s">
        <v>107</v>
      </c>
      <c r="H55" s="103" t="s">
        <v>91</v>
      </c>
      <c r="I55" s="127">
        <f>IF(AND(ISNUMBER(I53),ISNUMBER(I54)),I53*I54,"n/a")</f>
        <v>43999.999999999985</v>
      </c>
      <c r="J55" s="127"/>
      <c r="K55" s="125"/>
      <c r="N55" s="173" t="s">
        <v>126</v>
      </c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ht="11.25">
      <c r="B56" s="6" t="s">
        <v>37</v>
      </c>
      <c r="H56" s="102" t="s">
        <v>106</v>
      </c>
      <c r="I56" s="123">
        <f>B38</f>
        <v>60000</v>
      </c>
      <c r="J56" s="123"/>
      <c r="K56" s="12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ht="11.25">
      <c r="B57" s="6" t="s">
        <v>123</v>
      </c>
      <c r="H57" s="103" t="s">
        <v>91</v>
      </c>
      <c r="I57" s="124">
        <f>IF(AND(ISNUMBER(I55),ISNUMBER(I56)),I55+I56,"n/a")</f>
        <v>103999.99999999999</v>
      </c>
      <c r="J57" s="124"/>
      <c r="K57" s="125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102" ht="11.25" hidden="1">
      <c r="A102" s="112">
        <v>1</v>
      </c>
    </row>
  </sheetData>
  <sheetProtection/>
  <mergeCells count="76">
    <mergeCell ref="V42:W42"/>
    <mergeCell ref="V43:W43"/>
    <mergeCell ref="I47:K47"/>
    <mergeCell ref="V48:W48"/>
    <mergeCell ref="I53:K53"/>
    <mergeCell ref="I49:K49"/>
    <mergeCell ref="I51:K51"/>
    <mergeCell ref="I50:K50"/>
    <mergeCell ref="V49:W49"/>
    <mergeCell ref="I48:K48"/>
    <mergeCell ref="N55:W57"/>
    <mergeCell ref="N54:W54"/>
    <mergeCell ref="N52:W53"/>
    <mergeCell ref="B35:D35"/>
    <mergeCell ref="B42:D42"/>
    <mergeCell ref="B45:D45"/>
    <mergeCell ref="B37:D37"/>
    <mergeCell ref="B43:D43"/>
    <mergeCell ref="B36:D36"/>
    <mergeCell ref="B38:D38"/>
    <mergeCell ref="B39:D39"/>
    <mergeCell ref="B41:D41"/>
    <mergeCell ref="B44:D44"/>
    <mergeCell ref="B34:D34"/>
    <mergeCell ref="K3:N5"/>
    <mergeCell ref="K6:N6"/>
    <mergeCell ref="K9:N11"/>
    <mergeCell ref="K12:N12"/>
    <mergeCell ref="E9:H11"/>
    <mergeCell ref="E12:H12"/>
    <mergeCell ref="L28:M29"/>
    <mergeCell ref="F28:G29"/>
    <mergeCell ref="E21:H23"/>
    <mergeCell ref="B33:D33"/>
    <mergeCell ref="I22:J23"/>
    <mergeCell ref="E24:H24"/>
    <mergeCell ref="H27:K29"/>
    <mergeCell ref="B30:E30"/>
    <mergeCell ref="B27:E29"/>
    <mergeCell ref="K24:N24"/>
    <mergeCell ref="I10:J11"/>
    <mergeCell ref="N15:Q17"/>
    <mergeCell ref="N18:Q18"/>
    <mergeCell ref="L16:M17"/>
    <mergeCell ref="Q9:T11"/>
    <mergeCell ref="Q12:T12"/>
    <mergeCell ref="T15:W17"/>
    <mergeCell ref="T18:W18"/>
    <mergeCell ref="H15:K17"/>
    <mergeCell ref="H18:K18"/>
    <mergeCell ref="Q37:W37"/>
    <mergeCell ref="V38:W38"/>
    <mergeCell ref="V39:W39"/>
    <mergeCell ref="Q33:W33"/>
    <mergeCell ref="V34:W34"/>
    <mergeCell ref="U35:W35"/>
    <mergeCell ref="R28:S29"/>
    <mergeCell ref="N27:Q29"/>
    <mergeCell ref="N30:Q30"/>
    <mergeCell ref="T27:W29"/>
    <mergeCell ref="T30:W30"/>
    <mergeCell ref="O10:P11"/>
    <mergeCell ref="U22:V23"/>
    <mergeCell ref="Q21:T23"/>
    <mergeCell ref="Q24:T24"/>
    <mergeCell ref="K21:N23"/>
    <mergeCell ref="H30:K30"/>
    <mergeCell ref="V40:W40"/>
    <mergeCell ref="V41:W41"/>
    <mergeCell ref="I56:K56"/>
    <mergeCell ref="I57:K57"/>
    <mergeCell ref="V46:W46"/>
    <mergeCell ref="V47:W47"/>
    <mergeCell ref="Q45:W45"/>
    <mergeCell ref="I55:K55"/>
    <mergeCell ref="I54:K54"/>
  </mergeCells>
  <printOptions horizontalCentered="1"/>
  <pageMargins left="0.25" right="0.25" top="0.5" bottom="0.5" header="0.25" footer="0.25"/>
  <pageSetup fitToHeight="1" fitToWidth="1" horizontalDpi="300" verticalDpi="300" orientation="portrait" r:id="rId4"/>
  <headerFooter alignWithMargins="0">
    <oddFooter>&amp;L&amp;G
Copyright 1993-05&amp;CBASE CASE&amp;R&amp;D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="140" zoomScaleNormal="140" zoomScalePageLayoutView="0" workbookViewId="0" topLeftCell="A1">
      <pane ySplit="2340" topLeftCell="A7" activePane="bottomLeft" state="split"/>
      <selection pane="topLeft" activeCell="A1" sqref="A1"/>
      <selection pane="bottomLeft" activeCell="A7" sqref="A7:IV7"/>
    </sheetView>
  </sheetViews>
  <sheetFormatPr defaultColWidth="0" defaultRowHeight="12" zeroHeight="1"/>
  <cols>
    <col min="1" max="1" width="0.42578125" style="6" customWidth="1"/>
    <col min="2" max="23" width="4.7109375" style="6" customWidth="1"/>
    <col min="24" max="24" width="0.42578125" style="6" customWidth="1"/>
    <col min="25" max="16384" width="5.28125" style="6" hidden="1" customWidth="1"/>
  </cols>
  <sheetData>
    <row r="1" spans="2:23" s="1" customFormat="1" ht="12.75">
      <c r="B1" s="2" t="str">
        <f>"CASE #1-Cattle Scale DU PONT ANALYSIS: "&amp;IF(A102=1,"MARKET",IF(A102=2,"BOOK",NA()))&amp;" BASIS"</f>
        <v>CASE #1-Cattle Scale DU PONT ANALYSIS: MARKET BASIS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</row>
    <row r="3" spans="2:23" ht="120">
      <c r="B3" s="7"/>
      <c r="C3" s="7"/>
      <c r="D3" s="8"/>
      <c r="E3" s="7"/>
      <c r="F3" s="7"/>
      <c r="G3" s="7"/>
      <c r="H3" s="7"/>
      <c r="I3" s="7"/>
      <c r="J3" s="7"/>
      <c r="K3" s="132" t="s">
        <v>90</v>
      </c>
      <c r="L3" s="133"/>
      <c r="M3" s="133"/>
      <c r="N3" s="134"/>
      <c r="O3" s="8"/>
      <c r="P3" s="8"/>
      <c r="Q3" s="8"/>
      <c r="R3" s="8"/>
      <c r="S3" s="8"/>
      <c r="T3" s="7"/>
      <c r="U3" s="9"/>
      <c r="V3" s="7"/>
      <c r="W3" s="7"/>
    </row>
    <row r="4" spans="2:23" ht="12">
      <c r="B4" s="7"/>
      <c r="C4" s="7"/>
      <c r="D4" s="8"/>
      <c r="E4" s="7"/>
      <c r="F4" s="7"/>
      <c r="G4" s="7"/>
      <c r="H4" s="7"/>
      <c r="I4" s="7"/>
      <c r="J4" s="7"/>
      <c r="K4" s="135"/>
      <c r="L4" s="136"/>
      <c r="M4" s="136"/>
      <c r="N4" s="137"/>
      <c r="O4" s="8"/>
      <c r="P4" s="8"/>
      <c r="Q4" s="8"/>
      <c r="R4" s="8"/>
      <c r="S4" s="8"/>
      <c r="T4" s="7"/>
      <c r="U4" s="9"/>
      <c r="V4" s="8"/>
      <c r="W4" s="8"/>
    </row>
    <row r="5" spans="2:23" ht="12">
      <c r="B5" s="7"/>
      <c r="C5" s="7"/>
      <c r="D5" s="8"/>
      <c r="E5" s="7"/>
      <c r="F5" s="7"/>
      <c r="G5" s="7"/>
      <c r="H5" s="7"/>
      <c r="I5" s="7"/>
      <c r="J5" s="7"/>
      <c r="K5" s="135"/>
      <c r="L5" s="136"/>
      <c r="M5" s="136"/>
      <c r="N5" s="137"/>
      <c r="O5" s="8"/>
      <c r="P5" s="8"/>
      <c r="Q5" s="8"/>
      <c r="R5" s="8"/>
      <c r="S5" s="8"/>
      <c r="T5" s="7"/>
      <c r="U5" s="9"/>
      <c r="V5" s="8"/>
      <c r="W5" s="8"/>
    </row>
    <row r="6" spans="2:23" ht="12">
      <c r="B6" s="7"/>
      <c r="C6" s="7"/>
      <c r="D6" s="8"/>
      <c r="E6" s="7"/>
      <c r="F6" s="7"/>
      <c r="G6" s="7"/>
      <c r="H6" s="7"/>
      <c r="I6" s="7"/>
      <c r="J6" s="10"/>
      <c r="K6" s="162">
        <f>IF(AND(ISNUMBER(E12),ISNUMBER(K12),ISNUMBER(Q12)),E12+(K12*Q12),"n/a")</f>
        <v>0.06574374999999999</v>
      </c>
      <c r="L6" s="163"/>
      <c r="M6" s="163"/>
      <c r="N6" s="164"/>
      <c r="O6" s="8"/>
      <c r="P6" s="8"/>
      <c r="Q6" s="8"/>
      <c r="R6" s="8"/>
      <c r="S6" s="8"/>
      <c r="T6" s="7"/>
      <c r="U6" s="9"/>
      <c r="V6" s="8"/>
      <c r="W6" s="8"/>
    </row>
    <row r="7" spans="2:23" ht="11.25">
      <c r="B7" s="7"/>
      <c r="C7" s="7"/>
      <c r="D7" s="8"/>
      <c r="E7" s="7"/>
      <c r="F7" s="7"/>
      <c r="G7" s="7"/>
      <c r="H7" s="7"/>
      <c r="I7" s="7"/>
      <c r="J7" s="10"/>
      <c r="K7" s="8"/>
      <c r="L7" s="11"/>
      <c r="M7" s="9"/>
      <c r="N7" s="8"/>
      <c r="O7" s="8"/>
      <c r="P7" s="8"/>
      <c r="Q7" s="8"/>
      <c r="R7" s="8"/>
      <c r="S7" s="8"/>
      <c r="T7" s="7"/>
      <c r="U7" s="9"/>
      <c r="V7" s="8"/>
      <c r="W7" s="8"/>
    </row>
    <row r="8" spans="2:23" ht="11.25">
      <c r="B8" s="7"/>
      <c r="C8" s="7"/>
      <c r="D8" s="8"/>
      <c r="E8" s="7"/>
      <c r="F8" s="7"/>
      <c r="G8" s="12"/>
      <c r="H8" s="13"/>
      <c r="I8" s="13"/>
      <c r="J8" s="14"/>
      <c r="K8" s="15"/>
      <c r="L8" s="15"/>
      <c r="M8" s="16"/>
      <c r="N8" s="15"/>
      <c r="O8" s="15"/>
      <c r="P8" s="15"/>
      <c r="Q8" s="15"/>
      <c r="R8" s="13"/>
      <c r="S8" s="17"/>
      <c r="T8" s="9"/>
      <c r="U8" s="8"/>
      <c r="V8" s="8"/>
      <c r="W8" s="8"/>
    </row>
    <row r="9" spans="2:23" ht="11.25">
      <c r="B9" s="7"/>
      <c r="C9" s="7"/>
      <c r="D9" s="8"/>
      <c r="E9" s="144" t="str">
        <f>H15</f>
        <v>Return on average farm assets (ROA)</v>
      </c>
      <c r="F9" s="152"/>
      <c r="G9" s="152"/>
      <c r="H9" s="153"/>
      <c r="I9" s="8"/>
      <c r="J9" s="8"/>
      <c r="K9" s="132" t="s">
        <v>65</v>
      </c>
      <c r="L9" s="133"/>
      <c r="M9" s="133"/>
      <c r="N9" s="134"/>
      <c r="O9" s="8"/>
      <c r="P9" s="8"/>
      <c r="Q9" s="144" t="str">
        <f>T15</f>
        <v>Average debt/equity ratio</v>
      </c>
      <c r="R9" s="152"/>
      <c r="S9" s="152"/>
      <c r="T9" s="153"/>
      <c r="U9" s="8"/>
      <c r="V9" s="8"/>
      <c r="W9" s="8"/>
    </row>
    <row r="10" spans="2:23" ht="11.25">
      <c r="B10" s="7"/>
      <c r="C10" s="7"/>
      <c r="D10" s="8"/>
      <c r="E10" s="154"/>
      <c r="F10" s="143"/>
      <c r="G10" s="143"/>
      <c r="H10" s="155"/>
      <c r="I10" s="143" t="s">
        <v>3</v>
      </c>
      <c r="J10" s="131"/>
      <c r="K10" s="135"/>
      <c r="L10" s="136"/>
      <c r="M10" s="136"/>
      <c r="N10" s="137"/>
      <c r="O10" s="138" t="s">
        <v>0</v>
      </c>
      <c r="P10" s="139"/>
      <c r="Q10" s="154"/>
      <c r="R10" s="143"/>
      <c r="S10" s="143"/>
      <c r="T10" s="155"/>
      <c r="U10" s="8"/>
      <c r="V10" s="19"/>
      <c r="W10" s="8"/>
    </row>
    <row r="11" spans="2:23" ht="11.25">
      <c r="B11" s="7"/>
      <c r="C11" s="7"/>
      <c r="D11" s="8"/>
      <c r="E11" s="154"/>
      <c r="F11" s="143"/>
      <c r="G11" s="143"/>
      <c r="H11" s="155"/>
      <c r="I11" s="143"/>
      <c r="J11" s="131"/>
      <c r="K11" s="135"/>
      <c r="L11" s="136"/>
      <c r="M11" s="136"/>
      <c r="N11" s="137"/>
      <c r="O11" s="138"/>
      <c r="P11" s="139"/>
      <c r="Q11" s="154"/>
      <c r="R11" s="143"/>
      <c r="S11" s="143"/>
      <c r="T11" s="155"/>
      <c r="U11" s="20"/>
      <c r="V11" s="19"/>
      <c r="W11" s="8"/>
    </row>
    <row r="12" spans="2:23" ht="11.25">
      <c r="B12" s="7"/>
      <c r="C12" s="7"/>
      <c r="D12" s="8"/>
      <c r="E12" s="149">
        <f>H18</f>
        <v>0.0722835079977937</v>
      </c>
      <c r="F12" s="150"/>
      <c r="G12" s="150"/>
      <c r="H12" s="151"/>
      <c r="I12" s="8"/>
      <c r="J12" s="8"/>
      <c r="K12" s="162">
        <f>IF(AND(ISNUMBER(H18),ISNUMBER(N18)),H18-N18,"n/a")</f>
        <v>-0.0051646657435685805</v>
      </c>
      <c r="L12" s="163"/>
      <c r="M12" s="163"/>
      <c r="N12" s="164"/>
      <c r="O12" s="8"/>
      <c r="P12" s="8"/>
      <c r="Q12" s="156">
        <f>T18</f>
        <v>1.26625</v>
      </c>
      <c r="R12" s="157"/>
      <c r="S12" s="157"/>
      <c r="T12" s="158"/>
      <c r="U12" s="21"/>
      <c r="V12" s="8"/>
      <c r="W12" s="8"/>
    </row>
    <row r="13" spans="2:23" ht="11.25">
      <c r="B13" s="7"/>
      <c r="C13" s="7"/>
      <c r="D13" s="7"/>
      <c r="E13" s="7"/>
      <c r="F13" s="7"/>
      <c r="G13" s="22"/>
      <c r="H13" s="8"/>
      <c r="I13" s="8"/>
      <c r="J13" s="8"/>
      <c r="K13" s="8"/>
      <c r="L13" s="8"/>
      <c r="M13" s="23"/>
      <c r="N13" s="8"/>
      <c r="O13" s="8"/>
      <c r="P13" s="8"/>
      <c r="Q13" s="8"/>
      <c r="R13" s="8"/>
      <c r="S13" s="8"/>
      <c r="T13" s="8"/>
      <c r="U13" s="21"/>
      <c r="V13" s="8"/>
      <c r="W13" s="8"/>
    </row>
    <row r="14" spans="2:23" ht="11.25">
      <c r="B14" s="7"/>
      <c r="C14" s="7"/>
      <c r="D14" s="7"/>
      <c r="E14" s="7"/>
      <c r="F14" s="7"/>
      <c r="G14" s="22"/>
      <c r="H14" s="7"/>
      <c r="I14" s="7"/>
      <c r="J14" s="24"/>
      <c r="K14" s="13"/>
      <c r="L14" s="13"/>
      <c r="M14" s="7"/>
      <c r="N14" s="13"/>
      <c r="O14" s="13"/>
      <c r="P14" s="25"/>
      <c r="Q14" s="7"/>
      <c r="R14" s="8"/>
      <c r="S14" s="8"/>
      <c r="T14" s="7"/>
      <c r="U14" s="26"/>
      <c r="V14" s="8"/>
      <c r="W14" s="8"/>
    </row>
    <row r="15" spans="2:23" ht="11.25">
      <c r="B15" s="8"/>
      <c r="C15" s="8"/>
      <c r="D15" s="8"/>
      <c r="E15" s="8"/>
      <c r="F15" s="8"/>
      <c r="G15" s="27"/>
      <c r="H15" s="132" t="s">
        <v>62</v>
      </c>
      <c r="I15" s="133"/>
      <c r="J15" s="133"/>
      <c r="K15" s="134"/>
      <c r="L15" s="9"/>
      <c r="M15" s="8"/>
      <c r="N15" s="144" t="s">
        <v>64</v>
      </c>
      <c r="O15" s="145"/>
      <c r="P15" s="145"/>
      <c r="Q15" s="146"/>
      <c r="R15" s="8"/>
      <c r="S15" s="8"/>
      <c r="T15" s="132" t="s">
        <v>54</v>
      </c>
      <c r="U15" s="133"/>
      <c r="V15" s="133"/>
      <c r="W15" s="134"/>
    </row>
    <row r="16" spans="2:23" ht="11.25">
      <c r="B16" s="7"/>
      <c r="C16" s="7"/>
      <c r="D16" s="8"/>
      <c r="E16" s="8"/>
      <c r="F16" s="8"/>
      <c r="G16" s="28"/>
      <c r="H16" s="135"/>
      <c r="I16" s="136"/>
      <c r="J16" s="136"/>
      <c r="K16" s="137"/>
      <c r="L16" s="130" t="s">
        <v>52</v>
      </c>
      <c r="M16" s="143"/>
      <c r="N16" s="147"/>
      <c r="O16" s="136"/>
      <c r="P16" s="136"/>
      <c r="Q16" s="148"/>
      <c r="R16" s="8"/>
      <c r="S16" s="8"/>
      <c r="T16" s="135"/>
      <c r="U16" s="136"/>
      <c r="V16" s="136"/>
      <c r="W16" s="137"/>
    </row>
    <row r="17" spans="2:23" ht="11.25">
      <c r="B17" s="7"/>
      <c r="C17" s="7"/>
      <c r="D17" s="8"/>
      <c r="E17" s="8"/>
      <c r="F17" s="8"/>
      <c r="G17" s="8"/>
      <c r="H17" s="135"/>
      <c r="I17" s="136"/>
      <c r="J17" s="136"/>
      <c r="K17" s="137"/>
      <c r="L17" s="130"/>
      <c r="M17" s="143"/>
      <c r="N17" s="147"/>
      <c r="O17" s="136"/>
      <c r="P17" s="136"/>
      <c r="Q17" s="148"/>
      <c r="R17" s="8"/>
      <c r="S17" s="8"/>
      <c r="T17" s="135"/>
      <c r="U17" s="136"/>
      <c r="V17" s="136"/>
      <c r="W17" s="137"/>
    </row>
    <row r="18" spans="2:23" ht="11.25">
      <c r="B18" s="8"/>
      <c r="C18" s="8"/>
      <c r="D18" s="8"/>
      <c r="E18" s="8"/>
      <c r="F18" s="8"/>
      <c r="G18" s="8"/>
      <c r="H18" s="162">
        <f>IF(AND(ISNUMBER(E24),ISNUMBER(K24)),E24*K24,"n/a")</f>
        <v>0.0722835079977937</v>
      </c>
      <c r="I18" s="163"/>
      <c r="J18" s="163"/>
      <c r="K18" s="164"/>
      <c r="L18" s="9"/>
      <c r="M18" s="8"/>
      <c r="N18" s="149">
        <f>IF(T30,B36/T30,"n/a")</f>
        <v>0.07744817374136229</v>
      </c>
      <c r="O18" s="150"/>
      <c r="P18" s="150"/>
      <c r="Q18" s="151"/>
      <c r="R18" s="8"/>
      <c r="S18" s="8"/>
      <c r="T18" s="159">
        <f>IF(Q24,T30/Q24,"n/a")</f>
        <v>1.26625</v>
      </c>
      <c r="U18" s="160"/>
      <c r="V18" s="160"/>
      <c r="W18" s="161"/>
    </row>
    <row r="19" spans="2:23" ht="11.25">
      <c r="B19" s="7"/>
      <c r="C19" s="7"/>
      <c r="D19" s="7"/>
      <c r="E19" s="7"/>
      <c r="F19" s="7"/>
      <c r="G19" s="18"/>
      <c r="H19" s="29"/>
      <c r="I19" s="29"/>
      <c r="J19" s="24"/>
      <c r="K19" s="29"/>
      <c r="L19" s="29"/>
      <c r="M19" s="7"/>
      <c r="N19" s="7"/>
      <c r="O19" s="7"/>
      <c r="P19" s="7"/>
      <c r="Q19" s="9"/>
      <c r="R19" s="7"/>
      <c r="S19" s="7"/>
      <c r="T19" s="7"/>
      <c r="U19" s="11"/>
      <c r="V19" s="19"/>
      <c r="W19" s="8"/>
    </row>
    <row r="20" spans="2:23" ht="11.25">
      <c r="B20" s="8"/>
      <c r="C20" s="8"/>
      <c r="D20" s="8"/>
      <c r="E20" s="7"/>
      <c r="F20" s="7"/>
      <c r="G20" s="24"/>
      <c r="H20" s="30"/>
      <c r="I20" s="7"/>
      <c r="J20" s="7"/>
      <c r="K20" s="7"/>
      <c r="L20" s="31"/>
      <c r="M20" s="29"/>
      <c r="N20" s="7"/>
      <c r="O20" s="7"/>
      <c r="P20" s="7"/>
      <c r="Q20" s="8"/>
      <c r="R20" s="8"/>
      <c r="S20" s="24"/>
      <c r="T20" s="15"/>
      <c r="U20" s="32"/>
      <c r="V20" s="19"/>
      <c r="W20" s="8"/>
    </row>
    <row r="21" spans="2:23" ht="11.25">
      <c r="B21" s="8"/>
      <c r="C21" s="8"/>
      <c r="D21" s="8"/>
      <c r="E21" s="132" t="s">
        <v>53</v>
      </c>
      <c r="F21" s="133"/>
      <c r="G21" s="133"/>
      <c r="H21" s="134"/>
      <c r="I21" s="8"/>
      <c r="J21" s="7"/>
      <c r="K21" s="132" t="s">
        <v>63</v>
      </c>
      <c r="L21" s="133"/>
      <c r="M21" s="133"/>
      <c r="N21" s="134"/>
      <c r="O21" s="9"/>
      <c r="P21" s="9"/>
      <c r="Q21" s="132" t="str">
        <f>"Average farm
equity, "&amp;IF(A102=1,"market",IF(A102=2,"book","n/a"))</f>
        <v>Average farm
equity, market</v>
      </c>
      <c r="R21" s="133"/>
      <c r="S21" s="133"/>
      <c r="T21" s="134"/>
      <c r="U21" s="33"/>
      <c r="V21" s="8"/>
      <c r="W21" s="8"/>
    </row>
    <row r="22" spans="2:23" ht="11.25">
      <c r="B22" s="8"/>
      <c r="C22" s="8"/>
      <c r="D22" s="8"/>
      <c r="E22" s="135"/>
      <c r="F22" s="136"/>
      <c r="G22" s="136"/>
      <c r="H22" s="137"/>
      <c r="I22" s="138" t="s">
        <v>0</v>
      </c>
      <c r="J22" s="139"/>
      <c r="K22" s="135"/>
      <c r="L22" s="136"/>
      <c r="M22" s="136"/>
      <c r="N22" s="137"/>
      <c r="O22" s="9"/>
      <c r="P22" s="7"/>
      <c r="Q22" s="135"/>
      <c r="R22" s="136"/>
      <c r="S22" s="136"/>
      <c r="T22" s="137"/>
      <c r="U22" s="138" t="s">
        <v>1</v>
      </c>
      <c r="V22" s="140"/>
      <c r="W22" s="8"/>
    </row>
    <row r="23" spans="2:23" ht="11.25">
      <c r="B23" s="8"/>
      <c r="C23" s="8"/>
      <c r="D23" s="8"/>
      <c r="E23" s="135"/>
      <c r="F23" s="136"/>
      <c r="G23" s="136"/>
      <c r="H23" s="137"/>
      <c r="I23" s="138"/>
      <c r="J23" s="139"/>
      <c r="K23" s="135"/>
      <c r="L23" s="136"/>
      <c r="M23" s="136"/>
      <c r="N23" s="137"/>
      <c r="O23" s="9"/>
      <c r="P23" s="7"/>
      <c r="Q23" s="135"/>
      <c r="R23" s="136"/>
      <c r="S23" s="136"/>
      <c r="T23" s="137"/>
      <c r="U23" s="138"/>
      <c r="V23" s="140"/>
      <c r="W23" s="8"/>
    </row>
    <row r="24" spans="2:23" ht="11.25">
      <c r="B24" s="8"/>
      <c r="C24" s="8"/>
      <c r="D24" s="8"/>
      <c r="E24" s="162">
        <f>IF(H30,B30/H30,"n/a")</f>
        <v>0.16698096378787491</v>
      </c>
      <c r="F24" s="163"/>
      <c r="G24" s="163"/>
      <c r="H24" s="164"/>
      <c r="I24" s="8"/>
      <c r="J24" s="7"/>
      <c r="K24" s="162">
        <f>IF(N30,H30/N30,"n/a")</f>
        <v>0.43288472145615003</v>
      </c>
      <c r="L24" s="163"/>
      <c r="M24" s="163"/>
      <c r="N24" s="164"/>
      <c r="O24" s="9"/>
      <c r="P24" s="9"/>
      <c r="Q24" s="119">
        <f>N30-T30</f>
        <v>800000</v>
      </c>
      <c r="R24" s="120"/>
      <c r="S24" s="120"/>
      <c r="T24" s="121"/>
      <c r="U24" s="33"/>
      <c r="V24" s="8"/>
      <c r="W24" s="8"/>
    </row>
    <row r="25" spans="2:23" ht="11.25">
      <c r="B25" s="8"/>
      <c r="C25" s="8"/>
      <c r="D25" s="8"/>
      <c r="E25" s="8"/>
      <c r="F25" s="34"/>
      <c r="G25" s="24"/>
      <c r="H25" s="30"/>
      <c r="I25" s="29"/>
      <c r="J25" s="29"/>
      <c r="K25" s="29"/>
      <c r="L25" s="29"/>
      <c r="M25" s="24"/>
      <c r="N25" s="35"/>
      <c r="O25" s="29"/>
      <c r="P25" s="7"/>
      <c r="Q25" s="8"/>
      <c r="R25" s="11"/>
      <c r="S25" s="8"/>
      <c r="T25" s="8"/>
      <c r="U25" s="36"/>
      <c r="V25" s="19"/>
      <c r="W25" s="19"/>
    </row>
    <row r="26" spans="2:23" ht="11.25">
      <c r="B26" s="34"/>
      <c r="C26" s="37"/>
      <c r="D26" s="35"/>
      <c r="E26" s="38"/>
      <c r="F26" s="8"/>
      <c r="G26" s="7"/>
      <c r="H26" s="7"/>
      <c r="I26" s="7"/>
      <c r="J26" s="24"/>
      <c r="K26" s="35"/>
      <c r="L26" s="7"/>
      <c r="M26" s="7"/>
      <c r="N26" s="35"/>
      <c r="O26" s="31"/>
      <c r="P26" s="13"/>
      <c r="Q26" s="13"/>
      <c r="R26" s="13"/>
      <c r="S26" s="15"/>
      <c r="T26" s="15"/>
      <c r="U26" s="11"/>
      <c r="V26" s="39"/>
      <c r="W26" s="19"/>
    </row>
    <row r="27" spans="2:23" ht="12" customHeight="1">
      <c r="B27" s="132" t="s">
        <v>122</v>
      </c>
      <c r="C27" s="133"/>
      <c r="D27" s="133"/>
      <c r="E27" s="134"/>
      <c r="F27" s="8"/>
      <c r="G27" s="7"/>
      <c r="H27" s="132" t="s">
        <v>61</v>
      </c>
      <c r="I27" s="133"/>
      <c r="J27" s="133"/>
      <c r="K27" s="134"/>
      <c r="L27" s="8"/>
      <c r="M27" s="9"/>
      <c r="N27" s="132" t="str">
        <f>"Average farm
assets, "&amp;IF(A102=1,"market",IF(A102=2,"book","n/a"))</f>
        <v>Average farm
assets, market</v>
      </c>
      <c r="O27" s="133"/>
      <c r="P27" s="133"/>
      <c r="Q27" s="134"/>
      <c r="R27" s="9"/>
      <c r="S27" s="8"/>
      <c r="T27" s="132" t="s">
        <v>74</v>
      </c>
      <c r="U27" s="133"/>
      <c r="V27" s="133"/>
      <c r="W27" s="134"/>
    </row>
    <row r="28" spans="2:23" ht="12" customHeight="1">
      <c r="B28" s="135"/>
      <c r="C28" s="136"/>
      <c r="D28" s="136"/>
      <c r="E28" s="137"/>
      <c r="F28" s="143" t="s">
        <v>60</v>
      </c>
      <c r="G28" s="165"/>
      <c r="H28" s="135"/>
      <c r="I28" s="136"/>
      <c r="J28" s="136"/>
      <c r="K28" s="137"/>
      <c r="L28" s="143" t="s">
        <v>60</v>
      </c>
      <c r="M28" s="165"/>
      <c r="N28" s="135"/>
      <c r="O28" s="136"/>
      <c r="P28" s="136"/>
      <c r="Q28" s="137"/>
      <c r="R28" s="130" t="s">
        <v>55</v>
      </c>
      <c r="S28" s="131"/>
      <c r="T28" s="135"/>
      <c r="U28" s="136"/>
      <c r="V28" s="136"/>
      <c r="W28" s="137"/>
    </row>
    <row r="29" spans="2:23" ht="11.25">
      <c r="B29" s="135"/>
      <c r="C29" s="136"/>
      <c r="D29" s="136"/>
      <c r="E29" s="137"/>
      <c r="F29" s="165"/>
      <c r="G29" s="165"/>
      <c r="H29" s="135"/>
      <c r="I29" s="136"/>
      <c r="J29" s="136"/>
      <c r="K29" s="137"/>
      <c r="L29" s="165"/>
      <c r="M29" s="165"/>
      <c r="N29" s="135"/>
      <c r="O29" s="136"/>
      <c r="P29" s="136"/>
      <c r="Q29" s="137"/>
      <c r="R29" s="130"/>
      <c r="S29" s="131"/>
      <c r="T29" s="135"/>
      <c r="U29" s="136"/>
      <c r="V29" s="136"/>
      <c r="W29" s="137"/>
    </row>
    <row r="30" spans="2:23" ht="11.25">
      <c r="B30" s="119">
        <f>B37+B36-B38</f>
        <v>131050</v>
      </c>
      <c r="C30" s="120"/>
      <c r="D30" s="120"/>
      <c r="E30" s="121"/>
      <c r="F30" s="8"/>
      <c r="G30" s="7"/>
      <c r="H30" s="119">
        <f>B33</f>
        <v>784820</v>
      </c>
      <c r="I30" s="120"/>
      <c r="J30" s="120"/>
      <c r="K30" s="121"/>
      <c r="L30" s="8"/>
      <c r="M30" s="9"/>
      <c r="N30" s="119">
        <f>IF(A102=1,B41+B42,IF(A102=2,B41+B43,"n/a"))</f>
        <v>1813000</v>
      </c>
      <c r="O30" s="120"/>
      <c r="P30" s="120"/>
      <c r="Q30" s="121"/>
      <c r="R30" s="9"/>
      <c r="S30" s="8"/>
      <c r="T30" s="119">
        <f>B44+B45</f>
        <v>1013000</v>
      </c>
      <c r="U30" s="120"/>
      <c r="V30" s="120"/>
      <c r="W30" s="121"/>
    </row>
    <row r="31" spans="2:23" ht="6" customHeight="1" thickBo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12" customHeight="1">
      <c r="B33" s="166">
        <f>776000+8820</f>
        <v>784820</v>
      </c>
      <c r="C33" s="167"/>
      <c r="D33" s="168"/>
      <c r="E33" s="105" t="s">
        <v>72</v>
      </c>
      <c r="G33" s="47"/>
      <c r="H33" s="47"/>
      <c r="I33" s="47"/>
      <c r="J33" s="106"/>
      <c r="K33" s="106"/>
      <c r="Q33" s="126" t="s">
        <v>113</v>
      </c>
      <c r="R33" s="126"/>
      <c r="S33" s="126"/>
      <c r="T33" s="126"/>
      <c r="U33" s="126"/>
      <c r="V33" s="126"/>
      <c r="W33" s="126"/>
    </row>
    <row r="34" spans="2:23" ht="11.25">
      <c r="B34" s="166">
        <f>499000-1680</f>
        <v>497320</v>
      </c>
      <c r="C34" s="167"/>
      <c r="D34" s="168"/>
      <c r="E34" s="105" t="s">
        <v>68</v>
      </c>
      <c r="G34" s="47"/>
      <c r="H34" s="47"/>
      <c r="I34" s="47"/>
      <c r="J34" s="106"/>
      <c r="K34" s="106"/>
      <c r="Q34" s="6" t="s">
        <v>114</v>
      </c>
      <c r="V34" s="141">
        <f>IF(B44,B41/B44,"n/a")</f>
        <v>1.408450704225352</v>
      </c>
      <c r="W34" s="141"/>
    </row>
    <row r="35" spans="2:23" ht="11.25">
      <c r="B35" s="166">
        <f>95000+1450</f>
        <v>96450</v>
      </c>
      <c r="C35" s="167"/>
      <c r="D35" s="168"/>
      <c r="E35" s="105" t="s">
        <v>69</v>
      </c>
      <c r="G35" s="47"/>
      <c r="H35" s="47"/>
      <c r="I35" s="47"/>
      <c r="J35" s="47"/>
      <c r="K35" s="106"/>
      <c r="Q35" s="6" t="s">
        <v>115</v>
      </c>
      <c r="U35" s="142">
        <f>IF(B44,B41-B44,"n/a")</f>
        <v>87000</v>
      </c>
      <c r="V35" s="142"/>
      <c r="W35" s="142"/>
    </row>
    <row r="36" spans="2:11" ht="11.25">
      <c r="B36" s="166">
        <f>78000+455</f>
        <v>78455</v>
      </c>
      <c r="C36" s="167"/>
      <c r="D36" s="168"/>
      <c r="E36" s="105" t="s">
        <v>70</v>
      </c>
      <c r="G36" s="47"/>
      <c r="H36" s="47"/>
      <c r="I36" s="47"/>
      <c r="J36" s="47"/>
      <c r="K36" s="106"/>
    </row>
    <row r="37" spans="2:23" ht="11.25">
      <c r="B37" s="169">
        <f>B33-B34-B35-B36</f>
        <v>112595</v>
      </c>
      <c r="C37" s="169"/>
      <c r="D37" s="169"/>
      <c r="E37" s="107" t="s">
        <v>71</v>
      </c>
      <c r="G37" s="47"/>
      <c r="H37" s="47"/>
      <c r="I37" s="47"/>
      <c r="J37" s="47"/>
      <c r="K37" s="106"/>
      <c r="Q37" s="126" t="s">
        <v>98</v>
      </c>
      <c r="R37" s="126"/>
      <c r="S37" s="126"/>
      <c r="T37" s="126"/>
      <c r="U37" s="126"/>
      <c r="V37" s="126"/>
      <c r="W37" s="126"/>
    </row>
    <row r="38" spans="2:23" ht="11.25">
      <c r="B38" s="166">
        <v>60000</v>
      </c>
      <c r="C38" s="167"/>
      <c r="D38" s="168"/>
      <c r="E38" s="108" t="s">
        <v>108</v>
      </c>
      <c r="H38" s="109"/>
      <c r="I38" s="47"/>
      <c r="J38" s="110"/>
      <c r="K38" s="106"/>
      <c r="Q38" s="6" t="s">
        <v>99</v>
      </c>
      <c r="V38" s="122">
        <f>IF(B42,B45/B42,"n/a")</f>
        <v>0.5287508261731659</v>
      </c>
      <c r="W38" s="122"/>
    </row>
    <row r="39" spans="2:23" ht="11.25">
      <c r="B39" s="169">
        <f>B37-B38</f>
        <v>52595</v>
      </c>
      <c r="C39" s="169"/>
      <c r="D39" s="169"/>
      <c r="E39" s="107" t="s">
        <v>109</v>
      </c>
      <c r="H39" s="109"/>
      <c r="I39" s="47"/>
      <c r="J39" s="110"/>
      <c r="K39" s="106"/>
      <c r="P39" s="63"/>
      <c r="Q39" s="6" t="s">
        <v>100</v>
      </c>
      <c r="V39" s="122">
        <f>IF(B43,B45/B43,"n/a")</f>
        <v>0.6595218466611706</v>
      </c>
      <c r="W39" s="122"/>
    </row>
    <row r="40" spans="2:23" ht="11.25">
      <c r="B40" s="111"/>
      <c r="C40" s="111"/>
      <c r="D40" s="111"/>
      <c r="E40" s="107"/>
      <c r="H40" s="109"/>
      <c r="I40" s="47"/>
      <c r="J40" s="110"/>
      <c r="K40" s="106"/>
      <c r="P40" s="63"/>
      <c r="Q40" s="6" t="s">
        <v>102</v>
      </c>
      <c r="V40" s="122">
        <f>IF(B42,(B42-B45)/B42,"n/a")</f>
        <v>0.4712491738268341</v>
      </c>
      <c r="W40" s="122"/>
    </row>
    <row r="41" spans="2:23" ht="11.25">
      <c r="B41" s="170">
        <v>300000</v>
      </c>
      <c r="C41" s="171"/>
      <c r="D41" s="172"/>
      <c r="E41" s="105" t="s">
        <v>124</v>
      </c>
      <c r="H41" s="109"/>
      <c r="I41" s="47"/>
      <c r="J41" s="110"/>
      <c r="K41" s="106"/>
      <c r="P41" s="63"/>
      <c r="Q41" s="6" t="s">
        <v>101</v>
      </c>
      <c r="V41" s="122">
        <f>IF(B43,(B43-B45)/B43,"n/a")</f>
        <v>0.34047815333882936</v>
      </c>
      <c r="W41" s="122"/>
    </row>
    <row r="42" spans="2:23" ht="11.25">
      <c r="B42" s="166">
        <f>1500000+13000</f>
        <v>1513000</v>
      </c>
      <c r="C42" s="167"/>
      <c r="D42" s="168"/>
      <c r="E42" s="105" t="s">
        <v>111</v>
      </c>
      <c r="H42" s="109"/>
      <c r="I42" s="47"/>
      <c r="J42" s="110"/>
      <c r="K42" s="106"/>
      <c r="P42" s="63"/>
      <c r="Q42" s="6" t="s">
        <v>103</v>
      </c>
      <c r="V42" s="175">
        <f>IF((B42-B45),B45/(B42-B45),"n/a")</f>
        <v>1.1220196353436185</v>
      </c>
      <c r="W42" s="141"/>
    </row>
    <row r="43" spans="2:23" ht="12" customHeight="1">
      <c r="B43" s="166">
        <f>1200000+13000</f>
        <v>1213000</v>
      </c>
      <c r="C43" s="167"/>
      <c r="D43" s="168"/>
      <c r="E43" s="105" t="s">
        <v>110</v>
      </c>
      <c r="H43" s="47"/>
      <c r="I43" s="47"/>
      <c r="J43" s="106"/>
      <c r="K43" s="106"/>
      <c r="L43" s="63"/>
      <c r="M43" s="63"/>
      <c r="N43" s="63"/>
      <c r="O43" s="63"/>
      <c r="P43" s="63"/>
      <c r="Q43" s="6" t="s">
        <v>104</v>
      </c>
      <c r="R43" s="63"/>
      <c r="S43" s="63"/>
      <c r="V43" s="141">
        <f>IF((B43-B45),B45/(B43-B45),"n/a")</f>
        <v>1.937046004842615</v>
      </c>
      <c r="W43" s="141"/>
    </row>
    <row r="44" spans="2:19" ht="11.25">
      <c r="B44" s="170">
        <f>200000+13000</f>
        <v>213000</v>
      </c>
      <c r="C44" s="171"/>
      <c r="D44" s="172"/>
      <c r="E44" s="105" t="s">
        <v>125</v>
      </c>
      <c r="H44" s="47"/>
      <c r="I44" s="47"/>
      <c r="J44" s="106"/>
      <c r="K44" s="106"/>
      <c r="L44" s="63"/>
      <c r="M44" s="63"/>
      <c r="N44" s="63"/>
      <c r="O44" s="63"/>
      <c r="Q44" s="63"/>
      <c r="R44" s="63"/>
      <c r="S44" s="63"/>
    </row>
    <row r="45" spans="2:23" ht="11.25">
      <c r="B45" s="166">
        <v>800000</v>
      </c>
      <c r="C45" s="167"/>
      <c r="D45" s="168"/>
      <c r="E45" s="105" t="s">
        <v>112</v>
      </c>
      <c r="N45" s="63"/>
      <c r="O45" s="63"/>
      <c r="Q45" s="126" t="s">
        <v>76</v>
      </c>
      <c r="R45" s="126"/>
      <c r="S45" s="126"/>
      <c r="T45" s="126"/>
      <c r="U45" s="126"/>
      <c r="V45" s="126"/>
      <c r="W45" s="126"/>
    </row>
    <row r="46" spans="17:23" ht="11.25">
      <c r="Q46" s="6" t="s">
        <v>56</v>
      </c>
      <c r="V46" s="122">
        <f>IF($B$33,B34/$B$33,"n/a")</f>
        <v>0.6336739634565888</v>
      </c>
      <c r="W46" s="122"/>
    </row>
    <row r="47" spans="2:23" ht="11.25">
      <c r="B47" s="6" t="str">
        <f>"Average farm assets, "&amp;IF(A102=1,"market",IF(A102=2,"book","n/a"))</f>
        <v>Average farm assets, market</v>
      </c>
      <c r="I47" s="176">
        <f>N30</f>
        <v>1813000</v>
      </c>
      <c r="J47" s="176"/>
      <c r="K47" s="176"/>
      <c r="Q47" s="6" t="s">
        <v>57</v>
      </c>
      <c r="V47" s="122">
        <f>IF($B$33,B35/$B$33,"n/a")</f>
        <v>0.1228944216508244</v>
      </c>
      <c r="W47" s="122"/>
    </row>
    <row r="48" spans="2:23" ht="11.25">
      <c r="B48" s="6" t="s">
        <v>92</v>
      </c>
      <c r="H48" s="102" t="s">
        <v>96</v>
      </c>
      <c r="I48" s="128">
        <f>H18</f>
        <v>0.0722835079977937</v>
      </c>
      <c r="J48" s="129"/>
      <c r="K48" s="129"/>
      <c r="L48" s="63"/>
      <c r="M48" s="63"/>
      <c r="Q48" s="6" t="s">
        <v>58</v>
      </c>
      <c r="V48" s="122">
        <f>IF($B$33,B36/$B$33,"n/a")</f>
        <v>0.09996559720700288</v>
      </c>
      <c r="W48" s="122"/>
    </row>
    <row r="49" spans="2:23" ht="11.25">
      <c r="B49" s="6" t="s">
        <v>93</v>
      </c>
      <c r="H49" s="103" t="s">
        <v>91</v>
      </c>
      <c r="I49" s="127">
        <f>IF(AND(ISNUMBER(I47),ISNUMBER(I48)),I47*I48,"n/a")</f>
        <v>131049.99999999999</v>
      </c>
      <c r="J49" s="127"/>
      <c r="K49" s="125"/>
      <c r="L49" s="63"/>
      <c r="M49" s="63"/>
      <c r="Q49" s="6" t="s">
        <v>59</v>
      </c>
      <c r="V49" s="122">
        <f>IF($B$33,B37/$B$33,"n/a")</f>
        <v>0.14346601768558395</v>
      </c>
      <c r="W49" s="122"/>
    </row>
    <row r="50" spans="2:16" ht="11.25">
      <c r="B50" s="6" t="s">
        <v>94</v>
      </c>
      <c r="H50" s="102" t="s">
        <v>95</v>
      </c>
      <c r="I50" s="123">
        <f>B36</f>
        <v>78455</v>
      </c>
      <c r="J50" s="123"/>
      <c r="K50" s="177"/>
      <c r="L50" s="63"/>
      <c r="M50" s="63"/>
      <c r="N50" s="63"/>
      <c r="O50" s="63"/>
      <c r="P50" s="63"/>
    </row>
    <row r="51" spans="2:13" ht="12" customHeight="1">
      <c r="B51" s="6" t="s">
        <v>107</v>
      </c>
      <c r="H51" s="103" t="s">
        <v>91</v>
      </c>
      <c r="I51" s="124">
        <f>IF(AND(ISNUMBER(I49),ISNUMBER(I50)),I49-I50,"n/a")</f>
        <v>52594.999999999985</v>
      </c>
      <c r="J51" s="124"/>
      <c r="K51" s="125"/>
      <c r="L51" s="63"/>
      <c r="M51" s="63"/>
    </row>
    <row r="52" spans="14:23" ht="11.25">
      <c r="N52" s="173" t="s">
        <v>105</v>
      </c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ht="12" customHeight="1">
      <c r="B53" s="6" t="str">
        <f>"Average farm equity, "&amp;IF(A102=1,"market",IF(A102=2,"book","n/a"))</f>
        <v>Average farm equity, market</v>
      </c>
      <c r="I53" s="176">
        <f>Q24</f>
        <v>800000</v>
      </c>
      <c r="J53" s="176"/>
      <c r="K53" s="176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ht="12" customHeight="1">
      <c r="B54" s="6" t="s">
        <v>97</v>
      </c>
      <c r="H54" s="102" t="s">
        <v>96</v>
      </c>
      <c r="I54" s="128">
        <f>K6</f>
        <v>0.06574374999999999</v>
      </c>
      <c r="J54" s="129"/>
      <c r="K54" s="129"/>
      <c r="N54" s="174" t="s">
        <v>127</v>
      </c>
      <c r="O54" s="174"/>
      <c r="P54" s="174"/>
      <c r="Q54" s="174"/>
      <c r="R54" s="174"/>
      <c r="S54" s="174"/>
      <c r="T54" s="174"/>
      <c r="U54" s="174"/>
      <c r="V54" s="174"/>
      <c r="W54" s="174"/>
    </row>
    <row r="55" spans="2:23" ht="12" customHeight="1">
      <c r="B55" s="6" t="s">
        <v>107</v>
      </c>
      <c r="H55" s="103" t="s">
        <v>91</v>
      </c>
      <c r="I55" s="127">
        <f>IF(AND(ISNUMBER(I53),ISNUMBER(I54)),I53*I54,"n/a")</f>
        <v>52594.99999999999</v>
      </c>
      <c r="J55" s="127"/>
      <c r="K55" s="125"/>
      <c r="N55" s="173" t="s">
        <v>126</v>
      </c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ht="11.25">
      <c r="B56" s="6" t="s">
        <v>37</v>
      </c>
      <c r="H56" s="102" t="s">
        <v>106</v>
      </c>
      <c r="I56" s="123">
        <f>B38</f>
        <v>60000</v>
      </c>
      <c r="J56" s="123"/>
      <c r="K56" s="12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ht="11.25">
      <c r="B57" s="6" t="s">
        <v>123</v>
      </c>
      <c r="H57" s="103" t="s">
        <v>91</v>
      </c>
      <c r="I57" s="124">
        <f>IF(AND(ISNUMBER(I55),ISNUMBER(I56)),I55+I56,"n/a")</f>
        <v>112595</v>
      </c>
      <c r="J57" s="124"/>
      <c r="K57" s="125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102" ht="11.25" hidden="1">
      <c r="A102" s="112">
        <v>1</v>
      </c>
    </row>
  </sheetData>
  <sheetProtection/>
  <mergeCells count="76">
    <mergeCell ref="V40:W40"/>
    <mergeCell ref="V41:W41"/>
    <mergeCell ref="I56:K56"/>
    <mergeCell ref="I57:K57"/>
    <mergeCell ref="V46:W46"/>
    <mergeCell ref="V47:W47"/>
    <mergeCell ref="Q45:W45"/>
    <mergeCell ref="I55:K55"/>
    <mergeCell ref="I54:K54"/>
    <mergeCell ref="I48:K48"/>
    <mergeCell ref="N30:Q30"/>
    <mergeCell ref="T30:W30"/>
    <mergeCell ref="K24:N24"/>
    <mergeCell ref="O10:P11"/>
    <mergeCell ref="U22:V23"/>
    <mergeCell ref="Q21:T23"/>
    <mergeCell ref="Q24:T24"/>
    <mergeCell ref="R28:S29"/>
    <mergeCell ref="N27:Q29"/>
    <mergeCell ref="T27:W29"/>
    <mergeCell ref="Q37:W37"/>
    <mergeCell ref="V38:W38"/>
    <mergeCell ref="V39:W39"/>
    <mergeCell ref="Q33:W33"/>
    <mergeCell ref="V34:W34"/>
    <mergeCell ref="U35:W35"/>
    <mergeCell ref="I10:J11"/>
    <mergeCell ref="N15:Q17"/>
    <mergeCell ref="N18:Q18"/>
    <mergeCell ref="L16:M17"/>
    <mergeCell ref="Q9:T11"/>
    <mergeCell ref="Q12:T12"/>
    <mergeCell ref="T15:W17"/>
    <mergeCell ref="T18:W18"/>
    <mergeCell ref="H15:K17"/>
    <mergeCell ref="H18:K18"/>
    <mergeCell ref="L28:M29"/>
    <mergeCell ref="F28:G29"/>
    <mergeCell ref="E21:H23"/>
    <mergeCell ref="B33:D33"/>
    <mergeCell ref="I22:J23"/>
    <mergeCell ref="E24:H24"/>
    <mergeCell ref="H27:K29"/>
    <mergeCell ref="B30:E30"/>
    <mergeCell ref="B27:E29"/>
    <mergeCell ref="K21:N23"/>
    <mergeCell ref="B41:D41"/>
    <mergeCell ref="B44:D44"/>
    <mergeCell ref="B34:D34"/>
    <mergeCell ref="K3:N5"/>
    <mergeCell ref="K6:N6"/>
    <mergeCell ref="K9:N11"/>
    <mergeCell ref="K12:N12"/>
    <mergeCell ref="E9:H11"/>
    <mergeCell ref="E12:H12"/>
    <mergeCell ref="H30:K30"/>
    <mergeCell ref="I51:K51"/>
    <mergeCell ref="I50:K50"/>
    <mergeCell ref="B35:D35"/>
    <mergeCell ref="B42:D42"/>
    <mergeCell ref="B45:D45"/>
    <mergeCell ref="B37:D37"/>
    <mergeCell ref="B43:D43"/>
    <mergeCell ref="B36:D36"/>
    <mergeCell ref="B38:D38"/>
    <mergeCell ref="B39:D39"/>
    <mergeCell ref="V42:W42"/>
    <mergeCell ref="V43:W43"/>
    <mergeCell ref="I47:K47"/>
    <mergeCell ref="V48:W48"/>
    <mergeCell ref="V49:W49"/>
    <mergeCell ref="N55:W57"/>
    <mergeCell ref="N54:W54"/>
    <mergeCell ref="N52:W53"/>
    <mergeCell ref="I53:K53"/>
    <mergeCell ref="I49:K49"/>
  </mergeCells>
  <printOptions horizontalCentered="1"/>
  <pageMargins left="0.25" right="0.25" top="0.5" bottom="0.5" header="0.25" footer="0.25"/>
  <pageSetup fitToHeight="1" fitToWidth="1" horizontalDpi="300" verticalDpi="300" orientation="portrait" r:id="rId4"/>
  <headerFooter alignWithMargins="0">
    <oddFooter>&amp;L&amp;G
Copyright 1993-05&amp;CCASE #1&amp;R&amp;D</oddFoot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="140" zoomScaleNormal="140" zoomScalePageLayoutView="0" workbookViewId="0" topLeftCell="A1">
      <pane ySplit="2670" topLeftCell="A31" activePane="bottomLeft" state="split"/>
      <selection pane="topLeft" activeCell="T3" sqref="T3"/>
      <selection pane="bottomLeft" activeCell="B33" sqref="B33:D33"/>
    </sheetView>
  </sheetViews>
  <sheetFormatPr defaultColWidth="0" defaultRowHeight="12" zeroHeight="1"/>
  <cols>
    <col min="1" max="1" width="0.42578125" style="6" customWidth="1"/>
    <col min="2" max="23" width="4.7109375" style="6" customWidth="1"/>
    <col min="24" max="24" width="0.42578125" style="6" customWidth="1"/>
    <col min="25" max="16384" width="5.28125" style="6" hidden="1" customWidth="1"/>
  </cols>
  <sheetData>
    <row r="1" spans="2:23" s="1" customFormat="1" ht="12.75">
      <c r="B1" s="2" t="str">
        <f>"CASE #2-Precision NH#-Exactrix - DU PONT ANALYSIS: "&amp;IF(A102=1,"MARKET",IF(A102=2,"BOOK",NA()))&amp;" BASIS"</f>
        <v>CASE #2-Precision NH#-Exactrix - DU PONT ANALYSIS: MARKET BASIS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</row>
    <row r="3" spans="2:23" ht="120">
      <c r="B3" s="7"/>
      <c r="C3" s="7"/>
      <c r="D3" s="8"/>
      <c r="E3" s="7"/>
      <c r="F3" s="7"/>
      <c r="G3" s="7"/>
      <c r="H3" s="7"/>
      <c r="I3" s="7"/>
      <c r="J3" s="7"/>
      <c r="K3" s="132" t="s">
        <v>90</v>
      </c>
      <c r="L3" s="133"/>
      <c r="M3" s="133"/>
      <c r="N3" s="134"/>
      <c r="O3" s="8"/>
      <c r="P3" s="8"/>
      <c r="Q3" s="8"/>
      <c r="R3" s="8"/>
      <c r="S3" s="8"/>
      <c r="T3" s="7"/>
      <c r="U3" s="9"/>
      <c r="V3" s="7"/>
      <c r="W3" s="7"/>
    </row>
    <row r="4" spans="2:23" ht="12">
      <c r="B4" s="7"/>
      <c r="C4" s="7"/>
      <c r="D4" s="8"/>
      <c r="E4" s="7"/>
      <c r="F4" s="7"/>
      <c r="G4" s="7"/>
      <c r="H4" s="7"/>
      <c r="I4" s="7"/>
      <c r="J4" s="7"/>
      <c r="K4" s="135"/>
      <c r="L4" s="136"/>
      <c r="M4" s="136"/>
      <c r="N4" s="137"/>
      <c r="O4" s="8"/>
      <c r="P4" s="8"/>
      <c r="Q4" s="8"/>
      <c r="R4" s="8"/>
      <c r="S4" s="8"/>
      <c r="T4" s="7"/>
      <c r="U4" s="9"/>
      <c r="V4" s="8"/>
      <c r="W4" s="8"/>
    </row>
    <row r="5" spans="2:23" ht="12">
      <c r="B5" s="7"/>
      <c r="C5" s="7"/>
      <c r="D5" s="8"/>
      <c r="E5" s="7"/>
      <c r="F5" s="7"/>
      <c r="G5" s="7"/>
      <c r="H5" s="7"/>
      <c r="I5" s="7"/>
      <c r="J5" s="7"/>
      <c r="K5" s="135"/>
      <c r="L5" s="136"/>
      <c r="M5" s="136"/>
      <c r="N5" s="137"/>
      <c r="O5" s="8"/>
      <c r="P5" s="8"/>
      <c r="Q5" s="8"/>
      <c r="R5" s="8"/>
      <c r="S5" s="8"/>
      <c r="T5" s="7"/>
      <c r="U5" s="9"/>
      <c r="V5" s="8"/>
      <c r="W5" s="8"/>
    </row>
    <row r="6" spans="2:23" ht="12">
      <c r="B6" s="7"/>
      <c r="C6" s="7"/>
      <c r="D6" s="8"/>
      <c r="E6" s="7"/>
      <c r="F6" s="7"/>
      <c r="G6" s="7"/>
      <c r="H6" s="7"/>
      <c r="I6" s="7"/>
      <c r="J6" s="10"/>
      <c r="K6" s="162">
        <f>IF(AND(ISNUMBER(E12),ISNUMBER(K12),ISNUMBER(Q12)),E12+(K12*Q12),"n/a")</f>
        <v>0.07316250000000002</v>
      </c>
      <c r="L6" s="163"/>
      <c r="M6" s="163"/>
      <c r="N6" s="164"/>
      <c r="O6" s="8"/>
      <c r="P6" s="8"/>
      <c r="Q6" s="8"/>
      <c r="R6" s="8"/>
      <c r="S6" s="8"/>
      <c r="T6" s="7"/>
      <c r="U6" s="9"/>
      <c r="V6" s="8"/>
      <c r="W6" s="8"/>
    </row>
    <row r="7" spans="2:23" ht="11.25">
      <c r="B7" s="7"/>
      <c r="C7" s="7"/>
      <c r="D7" s="8"/>
      <c r="E7" s="7"/>
      <c r="F7" s="7"/>
      <c r="G7" s="7"/>
      <c r="H7" s="7"/>
      <c r="I7" s="7"/>
      <c r="J7" s="10"/>
      <c r="K7" s="8"/>
      <c r="L7" s="11"/>
      <c r="M7" s="9"/>
      <c r="N7" s="8"/>
      <c r="O7" s="8"/>
      <c r="P7" s="8"/>
      <c r="Q7" s="8"/>
      <c r="R7" s="8"/>
      <c r="S7" s="8"/>
      <c r="T7" s="7"/>
      <c r="U7" s="9"/>
      <c r="V7" s="8"/>
      <c r="W7" s="8"/>
    </row>
    <row r="8" spans="2:23" ht="11.25">
      <c r="B8" s="7"/>
      <c r="C8" s="7"/>
      <c r="D8" s="8"/>
      <c r="E8" s="7"/>
      <c r="F8" s="7"/>
      <c r="G8" s="12"/>
      <c r="H8" s="13"/>
      <c r="I8" s="13"/>
      <c r="J8" s="14"/>
      <c r="K8" s="15"/>
      <c r="L8" s="15"/>
      <c r="M8" s="16"/>
      <c r="N8" s="15"/>
      <c r="O8" s="15"/>
      <c r="P8" s="15"/>
      <c r="Q8" s="15"/>
      <c r="R8" s="13"/>
      <c r="S8" s="17"/>
      <c r="T8" s="9"/>
      <c r="U8" s="8"/>
      <c r="V8" s="8"/>
      <c r="W8" s="8"/>
    </row>
    <row r="9" spans="2:23" ht="11.25">
      <c r="B9" s="7"/>
      <c r="C9" s="7"/>
      <c r="D9" s="8"/>
      <c r="E9" s="144" t="str">
        <f>H15</f>
        <v>Return on average farm assets (ROA)</v>
      </c>
      <c r="F9" s="152"/>
      <c r="G9" s="152"/>
      <c r="H9" s="153"/>
      <c r="I9" s="8"/>
      <c r="J9" s="8"/>
      <c r="K9" s="132" t="s">
        <v>65</v>
      </c>
      <c r="L9" s="133"/>
      <c r="M9" s="133"/>
      <c r="N9" s="134"/>
      <c r="O9" s="8"/>
      <c r="P9" s="8"/>
      <c r="Q9" s="144" t="str">
        <f>T15</f>
        <v>Average debt/equity ratio</v>
      </c>
      <c r="R9" s="152"/>
      <c r="S9" s="152"/>
      <c r="T9" s="153"/>
      <c r="U9" s="8"/>
      <c r="V9" s="8"/>
      <c r="W9" s="8"/>
    </row>
    <row r="10" spans="2:23" ht="11.25">
      <c r="B10" s="7"/>
      <c r="C10" s="7"/>
      <c r="D10" s="8"/>
      <c r="E10" s="154"/>
      <c r="F10" s="143"/>
      <c r="G10" s="143"/>
      <c r="H10" s="155"/>
      <c r="I10" s="143" t="s">
        <v>3</v>
      </c>
      <c r="J10" s="131"/>
      <c r="K10" s="135"/>
      <c r="L10" s="136"/>
      <c r="M10" s="136"/>
      <c r="N10" s="137"/>
      <c r="O10" s="138" t="s">
        <v>0</v>
      </c>
      <c r="P10" s="139"/>
      <c r="Q10" s="154"/>
      <c r="R10" s="143"/>
      <c r="S10" s="143"/>
      <c r="T10" s="155"/>
      <c r="U10" s="8"/>
      <c r="V10" s="19"/>
      <c r="W10" s="8"/>
    </row>
    <row r="11" spans="2:23" ht="11.25">
      <c r="B11" s="7"/>
      <c r="C11" s="7"/>
      <c r="D11" s="8"/>
      <c r="E11" s="154"/>
      <c r="F11" s="143"/>
      <c r="G11" s="143"/>
      <c r="H11" s="155"/>
      <c r="I11" s="143"/>
      <c r="J11" s="131"/>
      <c r="K11" s="135"/>
      <c r="L11" s="136"/>
      <c r="M11" s="136"/>
      <c r="N11" s="137"/>
      <c r="O11" s="138"/>
      <c r="P11" s="139"/>
      <c r="Q11" s="154"/>
      <c r="R11" s="143"/>
      <c r="S11" s="143"/>
      <c r="T11" s="155"/>
      <c r="U11" s="20"/>
      <c r="V11" s="19"/>
      <c r="W11" s="8"/>
    </row>
    <row r="12" spans="2:23" ht="11.25">
      <c r="B12" s="7"/>
      <c r="C12" s="7"/>
      <c r="D12" s="8"/>
      <c r="E12" s="149">
        <f>H18</f>
        <v>0.0749185667752443</v>
      </c>
      <c r="F12" s="150"/>
      <c r="G12" s="150"/>
      <c r="H12" s="151"/>
      <c r="I12" s="8"/>
      <c r="J12" s="8"/>
      <c r="K12" s="162">
        <f>IF(AND(ISNUMBER(H18),ISNUMBER(N18)),H18-N18,"n/a")</f>
        <v>-0.0013482278504754613</v>
      </c>
      <c r="L12" s="163"/>
      <c r="M12" s="163"/>
      <c r="N12" s="164"/>
      <c r="O12" s="8"/>
      <c r="P12" s="8"/>
      <c r="Q12" s="156">
        <f>T18</f>
        <v>1.3025</v>
      </c>
      <c r="R12" s="157"/>
      <c r="S12" s="157"/>
      <c r="T12" s="158"/>
      <c r="U12" s="21"/>
      <c r="V12" s="8"/>
      <c r="W12" s="8"/>
    </row>
    <row r="13" spans="2:23" ht="11.25">
      <c r="B13" s="7"/>
      <c r="C13" s="7"/>
      <c r="D13" s="7"/>
      <c r="E13" s="7"/>
      <c r="F13" s="7"/>
      <c r="G13" s="22"/>
      <c r="H13" s="8"/>
      <c r="I13" s="8"/>
      <c r="J13" s="8"/>
      <c r="K13" s="8"/>
      <c r="L13" s="8"/>
      <c r="M13" s="23"/>
      <c r="N13" s="8"/>
      <c r="O13" s="8"/>
      <c r="P13" s="8"/>
      <c r="Q13" s="8"/>
      <c r="R13" s="8"/>
      <c r="S13" s="8"/>
      <c r="T13" s="8"/>
      <c r="U13" s="21"/>
      <c r="V13" s="8"/>
      <c r="W13" s="8"/>
    </row>
    <row r="14" spans="2:23" ht="11.25">
      <c r="B14" s="7"/>
      <c r="C14" s="7"/>
      <c r="D14" s="7"/>
      <c r="E14" s="7"/>
      <c r="F14" s="7"/>
      <c r="G14" s="22"/>
      <c r="H14" s="7"/>
      <c r="I14" s="7"/>
      <c r="J14" s="24"/>
      <c r="K14" s="13"/>
      <c r="L14" s="13"/>
      <c r="M14" s="7"/>
      <c r="N14" s="13"/>
      <c r="O14" s="13"/>
      <c r="P14" s="25"/>
      <c r="Q14" s="7"/>
      <c r="R14" s="8"/>
      <c r="S14" s="8"/>
      <c r="T14" s="7"/>
      <c r="U14" s="26"/>
      <c r="V14" s="8"/>
      <c r="W14" s="8"/>
    </row>
    <row r="15" spans="2:23" ht="11.25">
      <c r="B15" s="8"/>
      <c r="C15" s="8"/>
      <c r="D15" s="8"/>
      <c r="E15" s="8"/>
      <c r="F15" s="8"/>
      <c r="G15" s="27"/>
      <c r="H15" s="132" t="s">
        <v>62</v>
      </c>
      <c r="I15" s="133"/>
      <c r="J15" s="133"/>
      <c r="K15" s="134"/>
      <c r="L15" s="9"/>
      <c r="M15" s="8"/>
      <c r="N15" s="144" t="s">
        <v>64</v>
      </c>
      <c r="O15" s="145"/>
      <c r="P15" s="145"/>
      <c r="Q15" s="146"/>
      <c r="R15" s="8"/>
      <c r="S15" s="8"/>
      <c r="T15" s="132" t="s">
        <v>54</v>
      </c>
      <c r="U15" s="133"/>
      <c r="V15" s="133"/>
      <c r="W15" s="134"/>
    </row>
    <row r="16" spans="2:23" ht="11.25">
      <c r="B16" s="7"/>
      <c r="C16" s="7"/>
      <c r="D16" s="8"/>
      <c r="E16" s="8"/>
      <c r="F16" s="8"/>
      <c r="G16" s="28"/>
      <c r="H16" s="135"/>
      <c r="I16" s="136"/>
      <c r="J16" s="136"/>
      <c r="K16" s="137"/>
      <c r="L16" s="130" t="s">
        <v>52</v>
      </c>
      <c r="M16" s="143"/>
      <c r="N16" s="147"/>
      <c r="O16" s="136"/>
      <c r="P16" s="136"/>
      <c r="Q16" s="148"/>
      <c r="R16" s="8"/>
      <c r="S16" s="8"/>
      <c r="T16" s="135"/>
      <c r="U16" s="136"/>
      <c r="V16" s="136"/>
      <c r="W16" s="137"/>
    </row>
    <row r="17" spans="2:23" ht="11.25">
      <c r="B17" s="7"/>
      <c r="C17" s="7"/>
      <c r="D17" s="8"/>
      <c r="E17" s="8"/>
      <c r="F17" s="8"/>
      <c r="G17" s="8"/>
      <c r="H17" s="135"/>
      <c r="I17" s="136"/>
      <c r="J17" s="136"/>
      <c r="K17" s="137"/>
      <c r="L17" s="130"/>
      <c r="M17" s="143"/>
      <c r="N17" s="147"/>
      <c r="O17" s="136"/>
      <c r="P17" s="136"/>
      <c r="Q17" s="148"/>
      <c r="R17" s="8"/>
      <c r="S17" s="8"/>
      <c r="T17" s="135"/>
      <c r="U17" s="136"/>
      <c r="V17" s="136"/>
      <c r="W17" s="137"/>
    </row>
    <row r="18" spans="2:23" ht="11.25">
      <c r="B18" s="8"/>
      <c r="C18" s="8"/>
      <c r="D18" s="8"/>
      <c r="E18" s="8"/>
      <c r="F18" s="8"/>
      <c r="G18" s="8"/>
      <c r="H18" s="162">
        <f>IF(AND(ISNUMBER(E24),ISNUMBER(K24)),E24*K24,"n/a")</f>
        <v>0.0749185667752443</v>
      </c>
      <c r="I18" s="163"/>
      <c r="J18" s="163"/>
      <c r="K18" s="164"/>
      <c r="L18" s="9"/>
      <c r="M18" s="8"/>
      <c r="N18" s="149">
        <f>IF(T30,B36/T30,"n/a")</f>
        <v>0.07626679462571977</v>
      </c>
      <c r="O18" s="150"/>
      <c r="P18" s="150"/>
      <c r="Q18" s="151"/>
      <c r="R18" s="8"/>
      <c r="S18" s="8"/>
      <c r="T18" s="159">
        <f>IF(Q24,T30/Q24,"n/a")</f>
        <v>1.3025</v>
      </c>
      <c r="U18" s="160"/>
      <c r="V18" s="160"/>
      <c r="W18" s="161"/>
    </row>
    <row r="19" spans="2:23" ht="11.25">
      <c r="B19" s="7"/>
      <c r="C19" s="7"/>
      <c r="D19" s="7"/>
      <c r="E19" s="7"/>
      <c r="F19" s="7"/>
      <c r="G19" s="18"/>
      <c r="H19" s="29"/>
      <c r="I19" s="29"/>
      <c r="J19" s="24"/>
      <c r="K19" s="29"/>
      <c r="L19" s="29"/>
      <c r="M19" s="7"/>
      <c r="N19" s="7"/>
      <c r="O19" s="7"/>
      <c r="P19" s="7"/>
      <c r="Q19" s="9"/>
      <c r="R19" s="7"/>
      <c r="S19" s="7"/>
      <c r="T19" s="7"/>
      <c r="U19" s="11"/>
      <c r="V19" s="19"/>
      <c r="W19" s="8"/>
    </row>
    <row r="20" spans="2:23" ht="11.25">
      <c r="B20" s="8"/>
      <c r="C20" s="8"/>
      <c r="D20" s="8"/>
      <c r="E20" s="7"/>
      <c r="F20" s="7"/>
      <c r="G20" s="24"/>
      <c r="H20" s="30"/>
      <c r="I20" s="7"/>
      <c r="J20" s="7"/>
      <c r="K20" s="7"/>
      <c r="L20" s="31"/>
      <c r="M20" s="29"/>
      <c r="N20" s="7"/>
      <c r="O20" s="7"/>
      <c r="P20" s="7"/>
      <c r="Q20" s="8"/>
      <c r="R20" s="8"/>
      <c r="S20" s="24"/>
      <c r="T20" s="15"/>
      <c r="U20" s="32"/>
      <c r="V20" s="19"/>
      <c r="W20" s="8"/>
    </row>
    <row r="21" spans="2:23" ht="11.25">
      <c r="B21" s="8"/>
      <c r="C21" s="8"/>
      <c r="D21" s="8"/>
      <c r="E21" s="132" t="s">
        <v>53</v>
      </c>
      <c r="F21" s="133"/>
      <c r="G21" s="133"/>
      <c r="H21" s="134"/>
      <c r="I21" s="8"/>
      <c r="J21" s="7"/>
      <c r="K21" s="132" t="s">
        <v>63</v>
      </c>
      <c r="L21" s="133"/>
      <c r="M21" s="133"/>
      <c r="N21" s="134"/>
      <c r="O21" s="9"/>
      <c r="P21" s="9"/>
      <c r="Q21" s="132" t="str">
        <f>"Average farm
equity, "&amp;IF(A102=1,"market",IF(A102=2,"book","n/a"))</f>
        <v>Average farm
equity, market</v>
      </c>
      <c r="R21" s="133"/>
      <c r="S21" s="133"/>
      <c r="T21" s="134"/>
      <c r="U21" s="33"/>
      <c r="V21" s="8"/>
      <c r="W21" s="8"/>
    </row>
    <row r="22" spans="2:23" ht="11.25">
      <c r="B22" s="8"/>
      <c r="C22" s="8"/>
      <c r="D22" s="8"/>
      <c r="E22" s="135"/>
      <c r="F22" s="136"/>
      <c r="G22" s="136"/>
      <c r="H22" s="137"/>
      <c r="I22" s="138" t="s">
        <v>0</v>
      </c>
      <c r="J22" s="139"/>
      <c r="K22" s="135"/>
      <c r="L22" s="136"/>
      <c r="M22" s="136"/>
      <c r="N22" s="137"/>
      <c r="O22" s="9"/>
      <c r="P22" s="7"/>
      <c r="Q22" s="135"/>
      <c r="R22" s="136"/>
      <c r="S22" s="136"/>
      <c r="T22" s="137"/>
      <c r="U22" s="138" t="s">
        <v>1</v>
      </c>
      <c r="V22" s="140"/>
      <c r="W22" s="8"/>
    </row>
    <row r="23" spans="2:23" ht="11.25">
      <c r="B23" s="8"/>
      <c r="C23" s="8"/>
      <c r="D23" s="8"/>
      <c r="E23" s="135"/>
      <c r="F23" s="136"/>
      <c r="G23" s="136"/>
      <c r="H23" s="137"/>
      <c r="I23" s="138"/>
      <c r="J23" s="139"/>
      <c r="K23" s="135"/>
      <c r="L23" s="136"/>
      <c r="M23" s="136"/>
      <c r="N23" s="137"/>
      <c r="O23" s="9"/>
      <c r="P23" s="7"/>
      <c r="Q23" s="135"/>
      <c r="R23" s="136"/>
      <c r="S23" s="136"/>
      <c r="T23" s="137"/>
      <c r="U23" s="138"/>
      <c r="V23" s="140"/>
      <c r="W23" s="8"/>
    </row>
    <row r="24" spans="2:23" ht="11.25">
      <c r="B24" s="8"/>
      <c r="C24" s="8"/>
      <c r="D24" s="8"/>
      <c r="E24" s="162">
        <f>IF(H30,B30/H30,"n/a")</f>
        <v>0.17783505154639176</v>
      </c>
      <c r="F24" s="163"/>
      <c r="G24" s="163"/>
      <c r="H24" s="164"/>
      <c r="I24" s="8"/>
      <c r="J24" s="7"/>
      <c r="K24" s="162">
        <f>IF(N30,H30/N30,"n/a")</f>
        <v>0.4212812160694897</v>
      </c>
      <c r="L24" s="163"/>
      <c r="M24" s="163"/>
      <c r="N24" s="164"/>
      <c r="O24" s="9"/>
      <c r="P24" s="9"/>
      <c r="Q24" s="119">
        <f>N30-T30</f>
        <v>800000</v>
      </c>
      <c r="R24" s="120"/>
      <c r="S24" s="120"/>
      <c r="T24" s="121"/>
      <c r="U24" s="33"/>
      <c r="V24" s="8"/>
      <c r="W24" s="8"/>
    </row>
    <row r="25" spans="2:23" ht="11.25">
      <c r="B25" s="8"/>
      <c r="C25" s="8"/>
      <c r="D25" s="8"/>
      <c r="E25" s="8"/>
      <c r="F25" s="34"/>
      <c r="G25" s="24"/>
      <c r="H25" s="30"/>
      <c r="I25" s="29"/>
      <c r="J25" s="29"/>
      <c r="K25" s="29"/>
      <c r="L25" s="29"/>
      <c r="M25" s="24"/>
      <c r="N25" s="35"/>
      <c r="O25" s="29"/>
      <c r="P25" s="7"/>
      <c r="Q25" s="8"/>
      <c r="R25" s="11"/>
      <c r="S25" s="8"/>
      <c r="T25" s="8"/>
      <c r="U25" s="36"/>
      <c r="V25" s="19"/>
      <c r="W25" s="19"/>
    </row>
    <row r="26" spans="2:23" ht="11.25">
      <c r="B26" s="34"/>
      <c r="C26" s="37"/>
      <c r="D26" s="35"/>
      <c r="E26" s="38"/>
      <c r="F26" s="8"/>
      <c r="G26" s="7"/>
      <c r="H26" s="7"/>
      <c r="I26" s="7"/>
      <c r="J26" s="24"/>
      <c r="K26" s="35"/>
      <c r="L26" s="7"/>
      <c r="M26" s="7"/>
      <c r="N26" s="35"/>
      <c r="O26" s="31"/>
      <c r="P26" s="13"/>
      <c r="Q26" s="13"/>
      <c r="R26" s="13"/>
      <c r="S26" s="15"/>
      <c r="T26" s="15"/>
      <c r="U26" s="11"/>
      <c r="V26" s="39"/>
      <c r="W26" s="19"/>
    </row>
    <row r="27" spans="2:23" ht="12" customHeight="1">
      <c r="B27" s="132" t="s">
        <v>122</v>
      </c>
      <c r="C27" s="133"/>
      <c r="D27" s="133"/>
      <c r="E27" s="134"/>
      <c r="F27" s="8"/>
      <c r="G27" s="7"/>
      <c r="H27" s="132" t="s">
        <v>61</v>
      </c>
      <c r="I27" s="133"/>
      <c r="J27" s="133"/>
      <c r="K27" s="134"/>
      <c r="L27" s="8"/>
      <c r="M27" s="9"/>
      <c r="N27" s="132" t="str">
        <f>"Average farm
assets, "&amp;IF(A102=1,"market",IF(A102=2,"book","n/a"))</f>
        <v>Average farm
assets, market</v>
      </c>
      <c r="O27" s="133"/>
      <c r="P27" s="133"/>
      <c r="Q27" s="134"/>
      <c r="R27" s="9"/>
      <c r="S27" s="8"/>
      <c r="T27" s="132" t="s">
        <v>74</v>
      </c>
      <c r="U27" s="133"/>
      <c r="V27" s="133"/>
      <c r="W27" s="134"/>
    </row>
    <row r="28" spans="2:23" ht="12" customHeight="1">
      <c r="B28" s="135"/>
      <c r="C28" s="136"/>
      <c r="D28" s="136"/>
      <c r="E28" s="137"/>
      <c r="F28" s="143" t="s">
        <v>60</v>
      </c>
      <c r="G28" s="165"/>
      <c r="H28" s="135"/>
      <c r="I28" s="136"/>
      <c r="J28" s="136"/>
      <c r="K28" s="137"/>
      <c r="L28" s="143" t="s">
        <v>60</v>
      </c>
      <c r="M28" s="165"/>
      <c r="N28" s="135"/>
      <c r="O28" s="136"/>
      <c r="P28" s="136"/>
      <c r="Q28" s="137"/>
      <c r="R28" s="130" t="s">
        <v>55</v>
      </c>
      <c r="S28" s="131"/>
      <c r="T28" s="135"/>
      <c r="U28" s="136"/>
      <c r="V28" s="136"/>
      <c r="W28" s="137"/>
    </row>
    <row r="29" spans="2:23" ht="11.25">
      <c r="B29" s="135"/>
      <c r="C29" s="136"/>
      <c r="D29" s="136"/>
      <c r="E29" s="137"/>
      <c r="F29" s="165"/>
      <c r="G29" s="165"/>
      <c r="H29" s="135"/>
      <c r="I29" s="136"/>
      <c r="J29" s="136"/>
      <c r="K29" s="137"/>
      <c r="L29" s="165"/>
      <c r="M29" s="165"/>
      <c r="N29" s="135"/>
      <c r="O29" s="136"/>
      <c r="P29" s="136"/>
      <c r="Q29" s="137"/>
      <c r="R29" s="130"/>
      <c r="S29" s="131"/>
      <c r="T29" s="135"/>
      <c r="U29" s="136"/>
      <c r="V29" s="136"/>
      <c r="W29" s="137"/>
    </row>
    <row r="30" spans="2:23" ht="11.25">
      <c r="B30" s="119">
        <f>B37+B36-B38</f>
        <v>138000</v>
      </c>
      <c r="C30" s="120"/>
      <c r="D30" s="120"/>
      <c r="E30" s="121"/>
      <c r="F30" s="8"/>
      <c r="G30" s="7"/>
      <c r="H30" s="119">
        <f>B33</f>
        <v>776000</v>
      </c>
      <c r="I30" s="120"/>
      <c r="J30" s="120"/>
      <c r="K30" s="121"/>
      <c r="L30" s="8"/>
      <c r="M30" s="9"/>
      <c r="N30" s="119">
        <f>IF(A102=1,B41+B42,IF(A102=2,B41+B43,"n/a"))</f>
        <v>1842000</v>
      </c>
      <c r="O30" s="120"/>
      <c r="P30" s="120"/>
      <c r="Q30" s="121"/>
      <c r="R30" s="9"/>
      <c r="S30" s="8"/>
      <c r="T30" s="119">
        <f>B44+B45</f>
        <v>1042000</v>
      </c>
      <c r="U30" s="120"/>
      <c r="V30" s="120"/>
      <c r="W30" s="121"/>
    </row>
    <row r="31" spans="2:23" ht="6" customHeight="1" thickBo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12" customHeight="1">
      <c r="B33" s="166">
        <v>776000</v>
      </c>
      <c r="C33" s="167"/>
      <c r="D33" s="168"/>
      <c r="E33" s="105" t="s">
        <v>72</v>
      </c>
      <c r="G33" s="47"/>
      <c r="H33" s="47"/>
      <c r="I33" s="47"/>
      <c r="J33" s="106"/>
      <c r="K33" s="106"/>
      <c r="Q33" s="126" t="s">
        <v>113</v>
      </c>
      <c r="R33" s="126"/>
      <c r="S33" s="126"/>
      <c r="T33" s="126"/>
      <c r="U33" s="126"/>
      <c r="V33" s="126"/>
      <c r="W33" s="126"/>
    </row>
    <row r="34" spans="2:23" ht="11.25">
      <c r="B34" s="166">
        <v>476500</v>
      </c>
      <c r="C34" s="167"/>
      <c r="D34" s="168"/>
      <c r="E34" s="105" t="s">
        <v>68</v>
      </c>
      <c r="G34" s="47"/>
      <c r="H34" s="47"/>
      <c r="I34" s="47"/>
      <c r="J34" s="106"/>
      <c r="K34" s="106"/>
      <c r="Q34" s="6" t="s">
        <v>114</v>
      </c>
      <c r="V34" s="141">
        <f>IF(B44,B41/B44,"n/a")</f>
        <v>1.2396694214876034</v>
      </c>
      <c r="W34" s="141"/>
    </row>
    <row r="35" spans="2:23" ht="11.25">
      <c r="B35" s="166">
        <f>95000+6500</f>
        <v>101500</v>
      </c>
      <c r="C35" s="167"/>
      <c r="D35" s="168"/>
      <c r="E35" s="105" t="s">
        <v>69</v>
      </c>
      <c r="G35" s="47"/>
      <c r="H35" s="47"/>
      <c r="I35" s="47"/>
      <c r="J35" s="47"/>
      <c r="K35" s="106"/>
      <c r="Q35" s="6" t="s">
        <v>115</v>
      </c>
      <c r="U35" s="142">
        <f>IF(B44,B41-B44,"n/a")</f>
        <v>58000</v>
      </c>
      <c r="V35" s="142"/>
      <c r="W35" s="142"/>
    </row>
    <row r="36" spans="2:11" ht="11.25">
      <c r="B36" s="166">
        <f>78000+1470</f>
        <v>79470</v>
      </c>
      <c r="C36" s="167"/>
      <c r="D36" s="168"/>
      <c r="E36" s="105" t="s">
        <v>70</v>
      </c>
      <c r="G36" s="47"/>
      <c r="H36" s="47"/>
      <c r="I36" s="47"/>
      <c r="J36" s="47"/>
      <c r="K36" s="106"/>
    </row>
    <row r="37" spans="2:23" ht="11.25">
      <c r="B37" s="169">
        <f>B33-B34-B35-B36</f>
        <v>118530</v>
      </c>
      <c r="C37" s="169"/>
      <c r="D37" s="169"/>
      <c r="E37" s="107" t="s">
        <v>71</v>
      </c>
      <c r="G37" s="47"/>
      <c r="H37" s="47"/>
      <c r="I37" s="47"/>
      <c r="J37" s="47"/>
      <c r="K37" s="106"/>
      <c r="Q37" s="126" t="s">
        <v>98</v>
      </c>
      <c r="R37" s="126"/>
      <c r="S37" s="126"/>
      <c r="T37" s="126"/>
      <c r="U37" s="126"/>
      <c r="V37" s="126"/>
      <c r="W37" s="126"/>
    </row>
    <row r="38" spans="2:23" ht="11.25">
      <c r="B38" s="166">
        <v>60000</v>
      </c>
      <c r="C38" s="167"/>
      <c r="D38" s="168"/>
      <c r="E38" s="108" t="s">
        <v>108</v>
      </c>
      <c r="H38" s="109"/>
      <c r="I38" s="47"/>
      <c r="J38" s="110"/>
      <c r="K38" s="106"/>
      <c r="Q38" s="6" t="s">
        <v>99</v>
      </c>
      <c r="V38" s="122">
        <f>IF(B42,B45/B42,"n/a")</f>
        <v>0.5188067444876784</v>
      </c>
      <c r="W38" s="122"/>
    </row>
    <row r="39" spans="2:23" ht="11.25">
      <c r="B39" s="169">
        <f>B37-B38</f>
        <v>58530</v>
      </c>
      <c r="C39" s="169"/>
      <c r="D39" s="169"/>
      <c r="E39" s="107" t="s">
        <v>109</v>
      </c>
      <c r="H39" s="109"/>
      <c r="I39" s="47"/>
      <c r="J39" s="110"/>
      <c r="K39" s="106"/>
      <c r="P39" s="63"/>
      <c r="Q39" s="6" t="s">
        <v>100</v>
      </c>
      <c r="V39" s="122">
        <f>IF(B43,B45/B43,"n/a")</f>
        <v>0.644122383252818</v>
      </c>
      <c r="W39" s="122"/>
    </row>
    <row r="40" spans="2:23" ht="11.25">
      <c r="B40" s="111"/>
      <c r="C40" s="111"/>
      <c r="D40" s="111"/>
      <c r="E40" s="107"/>
      <c r="H40" s="109"/>
      <c r="I40" s="47"/>
      <c r="J40" s="110"/>
      <c r="K40" s="106"/>
      <c r="P40" s="63"/>
      <c r="Q40" s="6" t="s">
        <v>102</v>
      </c>
      <c r="V40" s="122">
        <f>IF(B42,(B42-B45)/B42,"n/a")</f>
        <v>0.48119325551232167</v>
      </c>
      <c r="W40" s="122"/>
    </row>
    <row r="41" spans="2:23" ht="11.25">
      <c r="B41" s="170">
        <v>300000</v>
      </c>
      <c r="C41" s="171"/>
      <c r="D41" s="172"/>
      <c r="E41" s="105" t="s">
        <v>124</v>
      </c>
      <c r="H41" s="109"/>
      <c r="I41" s="47"/>
      <c r="J41" s="110"/>
      <c r="K41" s="106"/>
      <c r="P41" s="63"/>
      <c r="Q41" s="6" t="s">
        <v>101</v>
      </c>
      <c r="V41" s="122">
        <f>IF(B43,(B43-B45)/B43,"n/a")</f>
        <v>0.355877616747182</v>
      </c>
      <c r="W41" s="122"/>
    </row>
    <row r="42" spans="2:23" ht="11.25">
      <c r="B42" s="166">
        <f>1500000+42000</f>
        <v>1542000</v>
      </c>
      <c r="C42" s="167"/>
      <c r="D42" s="168"/>
      <c r="E42" s="105" t="s">
        <v>111</v>
      </c>
      <c r="H42" s="109"/>
      <c r="I42" s="47"/>
      <c r="J42" s="110"/>
      <c r="K42" s="106"/>
      <c r="P42" s="63"/>
      <c r="Q42" s="6" t="s">
        <v>103</v>
      </c>
      <c r="V42" s="175">
        <f>IF((B42-B45),B45/(B42-B45),"n/a")</f>
        <v>1.0781671159029649</v>
      </c>
      <c r="W42" s="141"/>
    </row>
    <row r="43" spans="2:23" ht="12" customHeight="1">
      <c r="B43" s="166">
        <f>1200000+42000</f>
        <v>1242000</v>
      </c>
      <c r="C43" s="167"/>
      <c r="D43" s="168"/>
      <c r="E43" s="105" t="s">
        <v>110</v>
      </c>
      <c r="H43" s="47"/>
      <c r="I43" s="47"/>
      <c r="J43" s="106"/>
      <c r="K43" s="106"/>
      <c r="L43" s="63"/>
      <c r="M43" s="63"/>
      <c r="N43" s="63"/>
      <c r="O43" s="63"/>
      <c r="P43" s="63"/>
      <c r="Q43" s="6" t="s">
        <v>104</v>
      </c>
      <c r="R43" s="63"/>
      <c r="S43" s="63"/>
      <c r="V43" s="141">
        <f>IF((B43-B45),B45/(B43-B45),"n/a")</f>
        <v>1.8099547511312217</v>
      </c>
      <c r="W43" s="141"/>
    </row>
    <row r="44" spans="2:19" ht="11.25">
      <c r="B44" s="170">
        <f>200000+42000</f>
        <v>242000</v>
      </c>
      <c r="C44" s="171"/>
      <c r="D44" s="172"/>
      <c r="E44" s="105" t="s">
        <v>125</v>
      </c>
      <c r="H44" s="47"/>
      <c r="I44" s="47"/>
      <c r="J44" s="106"/>
      <c r="K44" s="106"/>
      <c r="L44" s="63"/>
      <c r="M44" s="63"/>
      <c r="N44" s="63"/>
      <c r="O44" s="63"/>
      <c r="Q44" s="63"/>
      <c r="R44" s="63"/>
      <c r="S44" s="63"/>
    </row>
    <row r="45" spans="2:23" ht="11.25">
      <c r="B45" s="166">
        <v>800000</v>
      </c>
      <c r="C45" s="167"/>
      <c r="D45" s="168"/>
      <c r="E45" s="105" t="s">
        <v>112</v>
      </c>
      <c r="N45" s="63"/>
      <c r="O45" s="63"/>
      <c r="Q45" s="126" t="s">
        <v>76</v>
      </c>
      <c r="R45" s="126"/>
      <c r="S45" s="126"/>
      <c r="T45" s="126"/>
      <c r="U45" s="126"/>
      <c r="V45" s="126"/>
      <c r="W45" s="126"/>
    </row>
    <row r="46" spans="17:23" ht="11.25">
      <c r="Q46" s="6" t="s">
        <v>56</v>
      </c>
      <c r="V46" s="122">
        <f>IF($B$33,B34/$B$33,"n/a")</f>
        <v>0.6140463917525774</v>
      </c>
      <c r="W46" s="122"/>
    </row>
    <row r="47" spans="2:23" ht="11.25">
      <c r="B47" s="6" t="str">
        <f>"Average farm assets, "&amp;IF(A102=1,"market",IF(A102=2,"book","n/a"))</f>
        <v>Average farm assets, market</v>
      </c>
      <c r="I47" s="176">
        <f>N30</f>
        <v>1842000</v>
      </c>
      <c r="J47" s="176"/>
      <c r="K47" s="176"/>
      <c r="Q47" s="6" t="s">
        <v>57</v>
      </c>
      <c r="V47" s="122">
        <f>IF($B$33,B35/$B$33,"n/a")</f>
        <v>0.13079896907216496</v>
      </c>
      <c r="W47" s="122"/>
    </row>
    <row r="48" spans="2:23" ht="11.25">
      <c r="B48" s="6" t="s">
        <v>92</v>
      </c>
      <c r="H48" s="102" t="s">
        <v>96</v>
      </c>
      <c r="I48" s="128">
        <f>H18</f>
        <v>0.0749185667752443</v>
      </c>
      <c r="J48" s="129"/>
      <c r="K48" s="129"/>
      <c r="L48" s="63"/>
      <c r="M48" s="63"/>
      <c r="Q48" s="6" t="s">
        <v>58</v>
      </c>
      <c r="V48" s="122">
        <f>IF($B$33,B36/$B$33,"n/a")</f>
        <v>0.10240979381443299</v>
      </c>
      <c r="W48" s="122"/>
    </row>
    <row r="49" spans="2:23" ht="11.25">
      <c r="B49" s="6" t="s">
        <v>93</v>
      </c>
      <c r="H49" s="103" t="s">
        <v>91</v>
      </c>
      <c r="I49" s="127">
        <f>IF(AND(ISNUMBER(I47),ISNUMBER(I48)),I47*I48,"n/a")</f>
        <v>138000</v>
      </c>
      <c r="J49" s="127"/>
      <c r="K49" s="125"/>
      <c r="L49" s="63"/>
      <c r="M49" s="63"/>
      <c r="Q49" s="6" t="s">
        <v>59</v>
      </c>
      <c r="V49" s="122">
        <f>IF($B$33,B37/$B$33,"n/a")</f>
        <v>0.15274484536082475</v>
      </c>
      <c r="W49" s="122"/>
    </row>
    <row r="50" spans="2:16" ht="11.25">
      <c r="B50" s="6" t="s">
        <v>94</v>
      </c>
      <c r="H50" s="102" t="s">
        <v>95</v>
      </c>
      <c r="I50" s="123">
        <f>B36</f>
        <v>79470</v>
      </c>
      <c r="J50" s="123"/>
      <c r="K50" s="177"/>
      <c r="L50" s="63"/>
      <c r="M50" s="63"/>
      <c r="N50" s="63"/>
      <c r="O50" s="63"/>
      <c r="P50" s="63"/>
    </row>
    <row r="51" spans="2:13" ht="12" customHeight="1">
      <c r="B51" s="6" t="s">
        <v>107</v>
      </c>
      <c r="H51" s="103" t="s">
        <v>91</v>
      </c>
      <c r="I51" s="124">
        <f>IF(AND(ISNUMBER(I49),ISNUMBER(I50)),I49-I50,"n/a")</f>
        <v>58530</v>
      </c>
      <c r="J51" s="124"/>
      <c r="K51" s="125"/>
      <c r="L51" s="63"/>
      <c r="M51" s="63"/>
    </row>
    <row r="52" spans="14:23" ht="11.25">
      <c r="N52" s="173" t="s">
        <v>105</v>
      </c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ht="12" customHeight="1">
      <c r="B53" s="6" t="str">
        <f>"Average farm equity, "&amp;IF(A102=1,"market",IF(A102=2,"book","n/a"))</f>
        <v>Average farm equity, market</v>
      </c>
      <c r="I53" s="176">
        <f>Q24</f>
        <v>800000</v>
      </c>
      <c r="J53" s="176"/>
      <c r="K53" s="176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ht="12" customHeight="1">
      <c r="B54" s="6" t="s">
        <v>97</v>
      </c>
      <c r="H54" s="102" t="s">
        <v>96</v>
      </c>
      <c r="I54" s="128">
        <f>K6</f>
        <v>0.07316250000000002</v>
      </c>
      <c r="J54" s="129"/>
      <c r="K54" s="129"/>
      <c r="N54" s="174" t="s">
        <v>127</v>
      </c>
      <c r="O54" s="174"/>
      <c r="P54" s="174"/>
      <c r="Q54" s="174"/>
      <c r="R54" s="174"/>
      <c r="S54" s="174"/>
      <c r="T54" s="174"/>
      <c r="U54" s="174"/>
      <c r="V54" s="174"/>
      <c r="W54" s="174"/>
    </row>
    <row r="55" spans="2:23" ht="12" customHeight="1">
      <c r="B55" s="6" t="s">
        <v>107</v>
      </c>
      <c r="H55" s="103" t="s">
        <v>91</v>
      </c>
      <c r="I55" s="127">
        <f>IF(AND(ISNUMBER(I53),ISNUMBER(I54)),I53*I54,"n/a")</f>
        <v>58530.000000000015</v>
      </c>
      <c r="J55" s="127"/>
      <c r="K55" s="125"/>
      <c r="N55" s="173" t="s">
        <v>126</v>
      </c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ht="11.25">
      <c r="B56" s="6" t="s">
        <v>37</v>
      </c>
      <c r="H56" s="102" t="s">
        <v>106</v>
      </c>
      <c r="I56" s="123">
        <f>B38</f>
        <v>60000</v>
      </c>
      <c r="J56" s="123"/>
      <c r="K56" s="12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ht="11.25">
      <c r="B57" s="6" t="s">
        <v>123</v>
      </c>
      <c r="H57" s="103" t="s">
        <v>91</v>
      </c>
      <c r="I57" s="124">
        <f>IF(AND(ISNUMBER(I55),ISNUMBER(I56)),I55+I56,"n/a")</f>
        <v>118530.00000000001</v>
      </c>
      <c r="J57" s="124"/>
      <c r="K57" s="125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102" ht="11.25" hidden="1">
      <c r="A102" s="112">
        <v>1</v>
      </c>
    </row>
  </sheetData>
  <sheetProtection/>
  <mergeCells count="76">
    <mergeCell ref="V42:W42"/>
    <mergeCell ref="V43:W43"/>
    <mergeCell ref="I47:K47"/>
    <mergeCell ref="V48:W48"/>
    <mergeCell ref="I53:K53"/>
    <mergeCell ref="I49:K49"/>
    <mergeCell ref="I51:K51"/>
    <mergeCell ref="I50:K50"/>
    <mergeCell ref="V49:W49"/>
    <mergeCell ref="I48:K48"/>
    <mergeCell ref="N55:W57"/>
    <mergeCell ref="N54:W54"/>
    <mergeCell ref="N52:W53"/>
    <mergeCell ref="B35:D35"/>
    <mergeCell ref="B42:D42"/>
    <mergeCell ref="B45:D45"/>
    <mergeCell ref="B37:D37"/>
    <mergeCell ref="B43:D43"/>
    <mergeCell ref="B36:D36"/>
    <mergeCell ref="B38:D38"/>
    <mergeCell ref="B39:D39"/>
    <mergeCell ref="B41:D41"/>
    <mergeCell ref="B44:D44"/>
    <mergeCell ref="B34:D34"/>
    <mergeCell ref="K3:N5"/>
    <mergeCell ref="K6:N6"/>
    <mergeCell ref="K9:N11"/>
    <mergeCell ref="K12:N12"/>
    <mergeCell ref="E9:H11"/>
    <mergeCell ref="E12:H12"/>
    <mergeCell ref="L28:M29"/>
    <mergeCell ref="F28:G29"/>
    <mergeCell ref="E21:H23"/>
    <mergeCell ref="B33:D33"/>
    <mergeCell ref="I22:J23"/>
    <mergeCell ref="E24:H24"/>
    <mergeCell ref="H27:K29"/>
    <mergeCell ref="B30:E30"/>
    <mergeCell ref="B27:E29"/>
    <mergeCell ref="K24:N24"/>
    <mergeCell ref="I10:J11"/>
    <mergeCell ref="N15:Q17"/>
    <mergeCell ref="N18:Q18"/>
    <mergeCell ref="L16:M17"/>
    <mergeCell ref="Q9:T11"/>
    <mergeCell ref="Q12:T12"/>
    <mergeCell ref="T15:W17"/>
    <mergeCell ref="T18:W18"/>
    <mergeCell ref="H15:K17"/>
    <mergeCell ref="H18:K18"/>
    <mergeCell ref="Q37:W37"/>
    <mergeCell ref="V38:W38"/>
    <mergeCell ref="V39:W39"/>
    <mergeCell ref="Q33:W33"/>
    <mergeCell ref="V34:W34"/>
    <mergeCell ref="U35:W35"/>
    <mergeCell ref="R28:S29"/>
    <mergeCell ref="N27:Q29"/>
    <mergeCell ref="N30:Q30"/>
    <mergeCell ref="T27:W29"/>
    <mergeCell ref="T30:W30"/>
    <mergeCell ref="O10:P11"/>
    <mergeCell ref="U22:V23"/>
    <mergeCell ref="Q21:T23"/>
    <mergeCell ref="Q24:T24"/>
    <mergeCell ref="K21:N23"/>
    <mergeCell ref="H30:K30"/>
    <mergeCell ref="V40:W40"/>
    <mergeCell ref="V41:W41"/>
    <mergeCell ref="I56:K56"/>
    <mergeCell ref="I57:K57"/>
    <mergeCell ref="V46:W46"/>
    <mergeCell ref="V47:W47"/>
    <mergeCell ref="Q45:W45"/>
    <mergeCell ref="I55:K55"/>
    <mergeCell ref="I54:K54"/>
  </mergeCells>
  <printOptions horizontalCentered="1"/>
  <pageMargins left="0.25" right="0.25" top="0.5" bottom="0.5" header="0.25" footer="0.25"/>
  <pageSetup fitToHeight="1" fitToWidth="1" horizontalDpi="300" verticalDpi="300" orientation="portrait" r:id="rId4"/>
  <headerFooter alignWithMargins="0">
    <oddFooter>&amp;L&amp;G
Copyright 1993-05&amp;CCASE #2&amp;R&amp;D</oddFoot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="150" zoomScaleNormal="150" zoomScalePageLayoutView="0" workbookViewId="0" topLeftCell="A1">
      <pane ySplit="2535" topLeftCell="A32" activePane="bottomLeft" state="split"/>
      <selection pane="topLeft" activeCell="A1" sqref="A1"/>
      <selection pane="bottomLeft" activeCell="I34" sqref="I34"/>
    </sheetView>
  </sheetViews>
  <sheetFormatPr defaultColWidth="0" defaultRowHeight="12" zeroHeight="1"/>
  <cols>
    <col min="1" max="1" width="0.42578125" style="6" customWidth="1"/>
    <col min="2" max="23" width="4.7109375" style="6" customWidth="1"/>
    <col min="24" max="24" width="0.42578125" style="6" customWidth="1"/>
    <col min="25" max="16384" width="5.28125" style="6" hidden="1" customWidth="1"/>
  </cols>
  <sheetData>
    <row r="1" spans="2:23" s="1" customFormat="1" ht="12.75">
      <c r="B1" s="2" t="str">
        <f>"CASE #3-RTK Guidance - DU PONT ANALYSIS: "&amp;IF(A102=1,"MARKET",IF(A102=2,"BOOK",NA()))&amp;" BASIS"</f>
        <v>CASE #3-RTK Guidance - DU PONT ANALYSIS: MARKET BASIS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</row>
    <row r="3" spans="2:23" ht="120">
      <c r="B3" s="7"/>
      <c r="C3" s="7"/>
      <c r="D3" s="8"/>
      <c r="E3" s="7"/>
      <c r="F3" s="7"/>
      <c r="G3" s="7"/>
      <c r="H3" s="7"/>
      <c r="I3" s="7"/>
      <c r="J3" s="7"/>
      <c r="K3" s="132" t="s">
        <v>90</v>
      </c>
      <c r="L3" s="133"/>
      <c r="M3" s="133"/>
      <c r="N3" s="134"/>
      <c r="O3" s="8"/>
      <c r="P3" s="8"/>
      <c r="Q3" s="8"/>
      <c r="R3" s="8"/>
      <c r="S3" s="8"/>
      <c r="T3" s="7"/>
      <c r="U3" s="9"/>
      <c r="V3" s="7"/>
      <c r="W3" s="7"/>
    </row>
    <row r="4" spans="2:23" ht="12">
      <c r="B4" s="7"/>
      <c r="C4" s="7"/>
      <c r="D4" s="8"/>
      <c r="E4" s="7"/>
      <c r="F4" s="7"/>
      <c r="G4" s="7"/>
      <c r="H4" s="7"/>
      <c r="I4" s="7"/>
      <c r="J4" s="7"/>
      <c r="K4" s="135"/>
      <c r="L4" s="136"/>
      <c r="M4" s="136"/>
      <c r="N4" s="137"/>
      <c r="O4" s="8"/>
      <c r="P4" s="8"/>
      <c r="Q4" s="8"/>
      <c r="R4" s="8"/>
      <c r="S4" s="8"/>
      <c r="T4" s="7"/>
      <c r="U4" s="9"/>
      <c r="V4" s="8"/>
      <c r="W4" s="8"/>
    </row>
    <row r="5" spans="2:23" ht="12">
      <c r="B5" s="7"/>
      <c r="C5" s="7"/>
      <c r="D5" s="8"/>
      <c r="E5" s="7"/>
      <c r="F5" s="7"/>
      <c r="G5" s="7"/>
      <c r="H5" s="7"/>
      <c r="I5" s="7"/>
      <c r="J5" s="7"/>
      <c r="K5" s="135"/>
      <c r="L5" s="136"/>
      <c r="M5" s="136"/>
      <c r="N5" s="137"/>
      <c r="O5" s="8"/>
      <c r="P5" s="8"/>
      <c r="Q5" s="8"/>
      <c r="R5" s="8"/>
      <c r="S5" s="8"/>
      <c r="T5" s="7"/>
      <c r="U5" s="9"/>
      <c r="V5" s="8"/>
      <c r="W5" s="8"/>
    </row>
    <row r="6" spans="2:23" ht="12">
      <c r="B6" s="7"/>
      <c r="C6" s="7"/>
      <c r="D6" s="8"/>
      <c r="E6" s="7"/>
      <c r="F6" s="7"/>
      <c r="G6" s="7"/>
      <c r="H6" s="7"/>
      <c r="I6" s="7"/>
      <c r="J6" s="10"/>
      <c r="K6" s="162">
        <f>IF(AND(ISNUMBER(E12),ISNUMBER(K12),ISNUMBER(Q12)),E12+(K12*Q12),"n/a")</f>
        <v>0.09968749999999998</v>
      </c>
      <c r="L6" s="163"/>
      <c r="M6" s="163"/>
      <c r="N6" s="164"/>
      <c r="O6" s="8"/>
      <c r="P6" s="8"/>
      <c r="Q6" s="8"/>
      <c r="R6" s="8"/>
      <c r="S6" s="8"/>
      <c r="T6" s="7"/>
      <c r="U6" s="9"/>
      <c r="V6" s="8"/>
      <c r="W6" s="8"/>
    </row>
    <row r="7" spans="2:23" ht="11.25">
      <c r="B7" s="7"/>
      <c r="C7" s="7"/>
      <c r="D7" s="8"/>
      <c r="E7" s="7"/>
      <c r="F7" s="7"/>
      <c r="G7" s="7"/>
      <c r="H7" s="7"/>
      <c r="I7" s="7"/>
      <c r="J7" s="10"/>
      <c r="K7" s="8"/>
      <c r="L7" s="11"/>
      <c r="M7" s="9"/>
      <c r="N7" s="8"/>
      <c r="O7" s="8"/>
      <c r="P7" s="8"/>
      <c r="Q7" s="8"/>
      <c r="R7" s="8"/>
      <c r="S7" s="8"/>
      <c r="T7" s="7"/>
      <c r="U7" s="9"/>
      <c r="V7" s="8"/>
      <c r="W7" s="8"/>
    </row>
    <row r="8" spans="2:23" ht="11.25">
      <c r="B8" s="7"/>
      <c r="C8" s="7"/>
      <c r="D8" s="8"/>
      <c r="E8" s="7"/>
      <c r="F8" s="7"/>
      <c r="G8" s="12"/>
      <c r="H8" s="13"/>
      <c r="I8" s="13"/>
      <c r="J8" s="14"/>
      <c r="K8" s="15"/>
      <c r="L8" s="15"/>
      <c r="M8" s="16"/>
      <c r="N8" s="15"/>
      <c r="O8" s="15"/>
      <c r="P8" s="15"/>
      <c r="Q8" s="15"/>
      <c r="R8" s="13"/>
      <c r="S8" s="17"/>
      <c r="T8" s="9"/>
      <c r="U8" s="8"/>
      <c r="V8" s="8"/>
      <c r="W8" s="8"/>
    </row>
    <row r="9" spans="2:23" ht="11.25">
      <c r="B9" s="7"/>
      <c r="C9" s="7"/>
      <c r="D9" s="8"/>
      <c r="E9" s="144" t="str">
        <f>H15</f>
        <v>Return on average farm assets (ROA)</v>
      </c>
      <c r="F9" s="152"/>
      <c r="G9" s="152"/>
      <c r="H9" s="153"/>
      <c r="I9" s="8"/>
      <c r="J9" s="8"/>
      <c r="K9" s="132" t="s">
        <v>65</v>
      </c>
      <c r="L9" s="133"/>
      <c r="M9" s="133"/>
      <c r="N9" s="134"/>
      <c r="O9" s="8"/>
      <c r="P9" s="8"/>
      <c r="Q9" s="144" t="str">
        <f>T15</f>
        <v>Average debt/equity ratio</v>
      </c>
      <c r="R9" s="152"/>
      <c r="S9" s="152"/>
      <c r="T9" s="153"/>
      <c r="U9" s="8"/>
      <c r="V9" s="8"/>
      <c r="W9" s="8"/>
    </row>
    <row r="10" spans="2:23" ht="11.25">
      <c r="B10" s="7"/>
      <c r="C10" s="7"/>
      <c r="D10" s="8"/>
      <c r="E10" s="154"/>
      <c r="F10" s="143"/>
      <c r="G10" s="143"/>
      <c r="H10" s="155"/>
      <c r="I10" s="143" t="s">
        <v>3</v>
      </c>
      <c r="J10" s="131"/>
      <c r="K10" s="135"/>
      <c r="L10" s="136"/>
      <c r="M10" s="136"/>
      <c r="N10" s="137"/>
      <c r="O10" s="138" t="s">
        <v>0</v>
      </c>
      <c r="P10" s="139"/>
      <c r="Q10" s="154"/>
      <c r="R10" s="143"/>
      <c r="S10" s="143"/>
      <c r="T10" s="155"/>
      <c r="U10" s="8"/>
      <c r="V10" s="19"/>
      <c r="W10" s="8"/>
    </row>
    <row r="11" spans="2:23" ht="11.25">
      <c r="B11" s="7"/>
      <c r="C11" s="7"/>
      <c r="D11" s="8"/>
      <c r="E11" s="154"/>
      <c r="F11" s="143"/>
      <c r="G11" s="143"/>
      <c r="H11" s="155"/>
      <c r="I11" s="143"/>
      <c r="J11" s="131"/>
      <c r="K11" s="135"/>
      <c r="L11" s="136"/>
      <c r="M11" s="136"/>
      <c r="N11" s="137"/>
      <c r="O11" s="138"/>
      <c r="P11" s="139"/>
      <c r="Q11" s="154"/>
      <c r="R11" s="143"/>
      <c r="S11" s="143"/>
      <c r="T11" s="155"/>
      <c r="U11" s="20"/>
      <c r="V11" s="19"/>
      <c r="W11" s="8"/>
    </row>
    <row r="12" spans="2:23" ht="11.25">
      <c r="B12" s="7"/>
      <c r="C12" s="7"/>
      <c r="D12" s="8"/>
      <c r="E12" s="149">
        <f>H18</f>
        <v>0.08621621621621621</v>
      </c>
      <c r="F12" s="150"/>
      <c r="G12" s="150"/>
      <c r="H12" s="151"/>
      <c r="I12" s="8"/>
      <c r="J12" s="8"/>
      <c r="K12" s="162">
        <f>IF(AND(ISNUMBER(H18),ISNUMBER(N18)),H18-N18,"n/a")</f>
        <v>0.010263835263835258</v>
      </c>
      <c r="L12" s="163"/>
      <c r="M12" s="163"/>
      <c r="N12" s="164"/>
      <c r="O12" s="8"/>
      <c r="P12" s="8"/>
      <c r="Q12" s="156">
        <f>T18</f>
        <v>1.3125</v>
      </c>
      <c r="R12" s="157"/>
      <c r="S12" s="157"/>
      <c r="T12" s="158"/>
      <c r="U12" s="21"/>
      <c r="V12" s="8"/>
      <c r="W12" s="8"/>
    </row>
    <row r="13" spans="2:23" ht="11.25">
      <c r="B13" s="7"/>
      <c r="C13" s="7"/>
      <c r="D13" s="7"/>
      <c r="E13" s="7"/>
      <c r="F13" s="7"/>
      <c r="G13" s="22"/>
      <c r="H13" s="8"/>
      <c r="I13" s="8"/>
      <c r="J13" s="8"/>
      <c r="K13" s="8"/>
      <c r="L13" s="8"/>
      <c r="M13" s="23"/>
      <c r="N13" s="8"/>
      <c r="O13" s="8"/>
      <c r="P13" s="8"/>
      <c r="Q13" s="8"/>
      <c r="R13" s="8"/>
      <c r="S13" s="8"/>
      <c r="T13" s="8"/>
      <c r="U13" s="21"/>
      <c r="V13" s="8"/>
      <c r="W13" s="8"/>
    </row>
    <row r="14" spans="2:23" ht="11.25">
      <c r="B14" s="7"/>
      <c r="C14" s="7"/>
      <c r="D14" s="7"/>
      <c r="E14" s="7"/>
      <c r="F14" s="7"/>
      <c r="G14" s="22"/>
      <c r="H14" s="7"/>
      <c r="I14" s="7"/>
      <c r="J14" s="24"/>
      <c r="K14" s="13"/>
      <c r="L14" s="13"/>
      <c r="M14" s="7"/>
      <c r="N14" s="13"/>
      <c r="O14" s="13"/>
      <c r="P14" s="25"/>
      <c r="Q14" s="7"/>
      <c r="R14" s="8"/>
      <c r="S14" s="8"/>
      <c r="T14" s="7"/>
      <c r="U14" s="26"/>
      <c r="V14" s="8"/>
      <c r="W14" s="8"/>
    </row>
    <row r="15" spans="2:23" ht="11.25">
      <c r="B15" s="8"/>
      <c r="C15" s="8"/>
      <c r="D15" s="8"/>
      <c r="E15" s="8"/>
      <c r="F15" s="8"/>
      <c r="G15" s="27"/>
      <c r="H15" s="132" t="s">
        <v>62</v>
      </c>
      <c r="I15" s="133"/>
      <c r="J15" s="133"/>
      <c r="K15" s="134"/>
      <c r="L15" s="9"/>
      <c r="M15" s="8"/>
      <c r="N15" s="144" t="s">
        <v>64</v>
      </c>
      <c r="O15" s="145"/>
      <c r="P15" s="145"/>
      <c r="Q15" s="146"/>
      <c r="R15" s="8"/>
      <c r="S15" s="8"/>
      <c r="T15" s="132" t="s">
        <v>54</v>
      </c>
      <c r="U15" s="133"/>
      <c r="V15" s="133"/>
      <c r="W15" s="134"/>
    </row>
    <row r="16" spans="2:23" ht="11.25">
      <c r="B16" s="7"/>
      <c r="C16" s="7"/>
      <c r="D16" s="8"/>
      <c r="E16" s="8"/>
      <c r="F16" s="8"/>
      <c r="G16" s="28"/>
      <c r="H16" s="135"/>
      <c r="I16" s="136"/>
      <c r="J16" s="136"/>
      <c r="K16" s="137"/>
      <c r="L16" s="130" t="s">
        <v>52</v>
      </c>
      <c r="M16" s="143"/>
      <c r="N16" s="147"/>
      <c r="O16" s="136"/>
      <c r="P16" s="136"/>
      <c r="Q16" s="148"/>
      <c r="R16" s="8"/>
      <c r="S16" s="8"/>
      <c r="T16" s="135"/>
      <c r="U16" s="136"/>
      <c r="V16" s="136"/>
      <c r="W16" s="137"/>
    </row>
    <row r="17" spans="2:23" ht="11.25">
      <c r="B17" s="7"/>
      <c r="C17" s="7"/>
      <c r="D17" s="8"/>
      <c r="E17" s="8"/>
      <c r="F17" s="8"/>
      <c r="G17" s="8"/>
      <c r="H17" s="135"/>
      <c r="I17" s="136"/>
      <c r="J17" s="136"/>
      <c r="K17" s="137"/>
      <c r="L17" s="130"/>
      <c r="M17" s="143"/>
      <c r="N17" s="147"/>
      <c r="O17" s="136"/>
      <c r="P17" s="136"/>
      <c r="Q17" s="148"/>
      <c r="R17" s="8"/>
      <c r="S17" s="8"/>
      <c r="T17" s="135"/>
      <c r="U17" s="136"/>
      <c r="V17" s="136"/>
      <c r="W17" s="137"/>
    </row>
    <row r="18" spans="2:23" ht="11.25">
      <c r="B18" s="8"/>
      <c r="C18" s="8"/>
      <c r="D18" s="8"/>
      <c r="E18" s="8"/>
      <c r="F18" s="8"/>
      <c r="G18" s="8"/>
      <c r="H18" s="162">
        <f>IF(AND(ISNUMBER(E24),ISNUMBER(K24)),E24*K24,"n/a")</f>
        <v>0.08621621621621621</v>
      </c>
      <c r="I18" s="163"/>
      <c r="J18" s="163"/>
      <c r="K18" s="164"/>
      <c r="L18" s="9"/>
      <c r="M18" s="8"/>
      <c r="N18" s="149">
        <f>IF(T30,B36/T30,"n/a")</f>
        <v>0.07595238095238095</v>
      </c>
      <c r="O18" s="150"/>
      <c r="P18" s="150"/>
      <c r="Q18" s="151"/>
      <c r="R18" s="8"/>
      <c r="S18" s="8"/>
      <c r="T18" s="159">
        <f>IF(Q24,T30/Q24,"n/a")</f>
        <v>1.3125</v>
      </c>
      <c r="U18" s="160"/>
      <c r="V18" s="160"/>
      <c r="W18" s="161"/>
    </row>
    <row r="19" spans="2:23" ht="11.25">
      <c r="B19" s="7"/>
      <c r="C19" s="7"/>
      <c r="D19" s="7"/>
      <c r="E19" s="7"/>
      <c r="F19" s="7"/>
      <c r="G19" s="18"/>
      <c r="H19" s="29"/>
      <c r="I19" s="29"/>
      <c r="J19" s="24"/>
      <c r="K19" s="29"/>
      <c r="L19" s="29"/>
      <c r="M19" s="7"/>
      <c r="N19" s="7"/>
      <c r="O19" s="7"/>
      <c r="P19" s="7"/>
      <c r="Q19" s="9"/>
      <c r="R19" s="7"/>
      <c r="S19" s="7"/>
      <c r="T19" s="7"/>
      <c r="U19" s="11"/>
      <c r="V19" s="19"/>
      <c r="W19" s="8"/>
    </row>
    <row r="20" spans="2:23" ht="11.25">
      <c r="B20" s="8"/>
      <c r="C20" s="8"/>
      <c r="D20" s="8"/>
      <c r="E20" s="7"/>
      <c r="F20" s="7"/>
      <c r="G20" s="24"/>
      <c r="H20" s="30"/>
      <c r="I20" s="7"/>
      <c r="J20" s="7"/>
      <c r="K20" s="7"/>
      <c r="L20" s="31"/>
      <c r="M20" s="29"/>
      <c r="N20" s="7"/>
      <c r="O20" s="7"/>
      <c r="P20" s="7"/>
      <c r="Q20" s="8"/>
      <c r="R20" s="8"/>
      <c r="S20" s="24"/>
      <c r="T20" s="15"/>
      <c r="U20" s="32"/>
      <c r="V20" s="19"/>
      <c r="W20" s="8"/>
    </row>
    <row r="21" spans="2:23" ht="11.25">
      <c r="B21" s="8"/>
      <c r="C21" s="8"/>
      <c r="D21" s="8"/>
      <c r="E21" s="132" t="s">
        <v>53</v>
      </c>
      <c r="F21" s="133"/>
      <c r="G21" s="133"/>
      <c r="H21" s="134"/>
      <c r="I21" s="8"/>
      <c r="J21" s="7"/>
      <c r="K21" s="132" t="s">
        <v>63</v>
      </c>
      <c r="L21" s="133"/>
      <c r="M21" s="133"/>
      <c r="N21" s="134"/>
      <c r="O21" s="9"/>
      <c r="P21" s="9"/>
      <c r="Q21" s="132" t="str">
        <f>"Average farm
equity, "&amp;IF(A102=1,"market",IF(A102=2,"book","n/a"))</f>
        <v>Average farm
equity, market</v>
      </c>
      <c r="R21" s="133"/>
      <c r="S21" s="133"/>
      <c r="T21" s="134"/>
      <c r="U21" s="33"/>
      <c r="V21" s="8"/>
      <c r="W21" s="8"/>
    </row>
    <row r="22" spans="2:23" ht="11.25">
      <c r="B22" s="8"/>
      <c r="C22" s="8"/>
      <c r="D22" s="8"/>
      <c r="E22" s="135"/>
      <c r="F22" s="136"/>
      <c r="G22" s="136"/>
      <c r="H22" s="137"/>
      <c r="I22" s="138" t="s">
        <v>0</v>
      </c>
      <c r="J22" s="139"/>
      <c r="K22" s="135"/>
      <c r="L22" s="136"/>
      <c r="M22" s="136"/>
      <c r="N22" s="137"/>
      <c r="O22" s="9"/>
      <c r="P22" s="7"/>
      <c r="Q22" s="135"/>
      <c r="R22" s="136"/>
      <c r="S22" s="136"/>
      <c r="T22" s="137"/>
      <c r="U22" s="138" t="s">
        <v>1</v>
      </c>
      <c r="V22" s="140"/>
      <c r="W22" s="8"/>
    </row>
    <row r="23" spans="2:23" ht="11.25">
      <c r="B23" s="8"/>
      <c r="C23" s="8"/>
      <c r="D23" s="8"/>
      <c r="E23" s="135"/>
      <c r="F23" s="136"/>
      <c r="G23" s="136"/>
      <c r="H23" s="137"/>
      <c r="I23" s="138"/>
      <c r="J23" s="139"/>
      <c r="K23" s="135"/>
      <c r="L23" s="136"/>
      <c r="M23" s="136"/>
      <c r="N23" s="137"/>
      <c r="O23" s="9"/>
      <c r="P23" s="7"/>
      <c r="Q23" s="135"/>
      <c r="R23" s="136"/>
      <c r="S23" s="136"/>
      <c r="T23" s="137"/>
      <c r="U23" s="138"/>
      <c r="V23" s="140"/>
      <c r="W23" s="8"/>
    </row>
    <row r="24" spans="2:23" ht="11.25">
      <c r="B24" s="8"/>
      <c r="C24" s="8"/>
      <c r="D24" s="8"/>
      <c r="E24" s="162">
        <f>IF(H30,B30/H30,"n/a")</f>
        <v>0.20554123711340205</v>
      </c>
      <c r="F24" s="163"/>
      <c r="G24" s="163"/>
      <c r="H24" s="164"/>
      <c r="I24" s="8"/>
      <c r="J24" s="7"/>
      <c r="K24" s="162">
        <f>IF(N30,H30/N30,"n/a")</f>
        <v>0.41945945945945945</v>
      </c>
      <c r="L24" s="163"/>
      <c r="M24" s="163"/>
      <c r="N24" s="164"/>
      <c r="O24" s="9"/>
      <c r="P24" s="9"/>
      <c r="Q24" s="119">
        <f>N30-T30</f>
        <v>800000</v>
      </c>
      <c r="R24" s="120"/>
      <c r="S24" s="120"/>
      <c r="T24" s="121"/>
      <c r="U24" s="33"/>
      <c r="V24" s="8"/>
      <c r="W24" s="8"/>
    </row>
    <row r="25" spans="2:23" ht="11.25">
      <c r="B25" s="8"/>
      <c r="C25" s="8"/>
      <c r="D25" s="8"/>
      <c r="E25" s="8"/>
      <c r="F25" s="34"/>
      <c r="G25" s="24"/>
      <c r="H25" s="30"/>
      <c r="I25" s="29"/>
      <c r="J25" s="29"/>
      <c r="K25" s="29"/>
      <c r="L25" s="29"/>
      <c r="M25" s="24"/>
      <c r="N25" s="35"/>
      <c r="O25" s="29"/>
      <c r="P25" s="7"/>
      <c r="Q25" s="8"/>
      <c r="R25" s="11"/>
      <c r="S25" s="8"/>
      <c r="T25" s="8"/>
      <c r="U25" s="36"/>
      <c r="V25" s="19"/>
      <c r="W25" s="19"/>
    </row>
    <row r="26" spans="2:23" ht="11.25">
      <c r="B26" s="34"/>
      <c r="C26" s="37"/>
      <c r="D26" s="35"/>
      <c r="E26" s="38"/>
      <c r="F26" s="8"/>
      <c r="G26" s="7"/>
      <c r="H26" s="7"/>
      <c r="I26" s="7"/>
      <c r="J26" s="24"/>
      <c r="K26" s="35"/>
      <c r="L26" s="7"/>
      <c r="M26" s="7"/>
      <c r="N26" s="35"/>
      <c r="O26" s="31"/>
      <c r="P26" s="13"/>
      <c r="Q26" s="13"/>
      <c r="R26" s="13"/>
      <c r="S26" s="15"/>
      <c r="T26" s="15"/>
      <c r="U26" s="11"/>
      <c r="V26" s="39"/>
      <c r="W26" s="19"/>
    </row>
    <row r="27" spans="2:23" ht="12" customHeight="1">
      <c r="B27" s="132" t="s">
        <v>122</v>
      </c>
      <c r="C27" s="133"/>
      <c r="D27" s="133"/>
      <c r="E27" s="134"/>
      <c r="F27" s="8"/>
      <c r="G27" s="7"/>
      <c r="H27" s="132" t="s">
        <v>61</v>
      </c>
      <c r="I27" s="133"/>
      <c r="J27" s="133"/>
      <c r="K27" s="134"/>
      <c r="L27" s="8"/>
      <c r="M27" s="9"/>
      <c r="N27" s="132" t="str">
        <f>"Average farm
assets, "&amp;IF(A102=1,"market",IF(A102=2,"book","n/a"))</f>
        <v>Average farm
assets, market</v>
      </c>
      <c r="O27" s="133"/>
      <c r="P27" s="133"/>
      <c r="Q27" s="134"/>
      <c r="R27" s="9"/>
      <c r="S27" s="8"/>
      <c r="T27" s="132" t="s">
        <v>74</v>
      </c>
      <c r="U27" s="133"/>
      <c r="V27" s="133"/>
      <c r="W27" s="134"/>
    </row>
    <row r="28" spans="2:23" ht="12" customHeight="1">
      <c r="B28" s="135"/>
      <c r="C28" s="136"/>
      <c r="D28" s="136"/>
      <c r="E28" s="137"/>
      <c r="F28" s="143" t="s">
        <v>60</v>
      </c>
      <c r="G28" s="165"/>
      <c r="H28" s="135"/>
      <c r="I28" s="136"/>
      <c r="J28" s="136"/>
      <c r="K28" s="137"/>
      <c r="L28" s="143" t="s">
        <v>60</v>
      </c>
      <c r="M28" s="165"/>
      <c r="N28" s="135"/>
      <c r="O28" s="136"/>
      <c r="P28" s="136"/>
      <c r="Q28" s="137"/>
      <c r="R28" s="130" t="s">
        <v>55</v>
      </c>
      <c r="S28" s="131"/>
      <c r="T28" s="135"/>
      <c r="U28" s="136"/>
      <c r="V28" s="136"/>
      <c r="W28" s="137"/>
    </row>
    <row r="29" spans="2:23" ht="11.25">
      <c r="B29" s="135"/>
      <c r="C29" s="136"/>
      <c r="D29" s="136"/>
      <c r="E29" s="137"/>
      <c r="F29" s="165"/>
      <c r="G29" s="165"/>
      <c r="H29" s="135"/>
      <c r="I29" s="136"/>
      <c r="J29" s="136"/>
      <c r="K29" s="137"/>
      <c r="L29" s="165"/>
      <c r="M29" s="165"/>
      <c r="N29" s="135"/>
      <c r="O29" s="136"/>
      <c r="P29" s="136"/>
      <c r="Q29" s="137"/>
      <c r="R29" s="130"/>
      <c r="S29" s="131"/>
      <c r="T29" s="135"/>
      <c r="U29" s="136"/>
      <c r="V29" s="136"/>
      <c r="W29" s="137"/>
    </row>
    <row r="30" spans="2:23" ht="11.25">
      <c r="B30" s="119">
        <f>B37+B36-B38</f>
        <v>159500</v>
      </c>
      <c r="C30" s="120"/>
      <c r="D30" s="120"/>
      <c r="E30" s="121"/>
      <c r="F30" s="8"/>
      <c r="G30" s="7"/>
      <c r="H30" s="119">
        <f>B33</f>
        <v>776000</v>
      </c>
      <c r="I30" s="120"/>
      <c r="J30" s="120"/>
      <c r="K30" s="121"/>
      <c r="L30" s="8"/>
      <c r="M30" s="9"/>
      <c r="N30" s="119">
        <f>IF(A102=1,B41+B42,IF(A102=2,B41+B43,"n/a"))</f>
        <v>1850000</v>
      </c>
      <c r="O30" s="120"/>
      <c r="P30" s="120"/>
      <c r="Q30" s="121"/>
      <c r="R30" s="9"/>
      <c r="S30" s="8"/>
      <c r="T30" s="119">
        <f>B44+B45</f>
        <v>1050000</v>
      </c>
      <c r="U30" s="120"/>
      <c r="V30" s="120"/>
      <c r="W30" s="121"/>
    </row>
    <row r="31" spans="2:23" ht="6" customHeight="1" thickBo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12" customHeight="1">
      <c r="B33" s="166">
        <f>776000+0</f>
        <v>776000</v>
      </c>
      <c r="C33" s="167"/>
      <c r="D33" s="168"/>
      <c r="E33" s="105" t="s">
        <v>72</v>
      </c>
      <c r="G33" s="47"/>
      <c r="H33" s="47"/>
      <c r="I33" s="47"/>
      <c r="J33" s="106"/>
      <c r="K33" s="106"/>
      <c r="Q33" s="126" t="s">
        <v>113</v>
      </c>
      <c r="R33" s="126"/>
      <c r="S33" s="126"/>
      <c r="T33" s="126"/>
      <c r="U33" s="126"/>
      <c r="V33" s="126"/>
      <c r="W33" s="126"/>
    </row>
    <row r="34" spans="2:23" ht="11.25">
      <c r="B34" s="166">
        <f>499000-48500</f>
        <v>450500</v>
      </c>
      <c r="C34" s="167"/>
      <c r="D34" s="168"/>
      <c r="E34" s="105" t="s">
        <v>68</v>
      </c>
      <c r="G34" s="47"/>
      <c r="H34" s="47"/>
      <c r="I34" s="47"/>
      <c r="J34" s="106"/>
      <c r="K34" s="106"/>
      <c r="Q34" s="6" t="s">
        <v>114</v>
      </c>
      <c r="V34" s="141">
        <f>IF(B44,B41/B44,"n/a")</f>
        <v>1.5</v>
      </c>
      <c r="W34" s="141"/>
    </row>
    <row r="35" spans="2:23" ht="11.25">
      <c r="B35" s="166">
        <f>95000+10000+1000</f>
        <v>106000</v>
      </c>
      <c r="C35" s="167"/>
      <c r="D35" s="168"/>
      <c r="E35" s="105" t="s">
        <v>69</v>
      </c>
      <c r="G35" s="47"/>
      <c r="H35" s="47"/>
      <c r="I35" s="47"/>
      <c r="J35" s="47"/>
      <c r="K35" s="106"/>
      <c r="Q35" s="6" t="s">
        <v>115</v>
      </c>
      <c r="U35" s="142">
        <f>IF(B44,B41-B44,"n/a")</f>
        <v>100000</v>
      </c>
      <c r="V35" s="142"/>
      <c r="W35" s="142"/>
    </row>
    <row r="36" spans="2:11" ht="11.25">
      <c r="B36" s="166">
        <f>78000+1750</f>
        <v>79750</v>
      </c>
      <c r="C36" s="167"/>
      <c r="D36" s="168"/>
      <c r="E36" s="105" t="s">
        <v>70</v>
      </c>
      <c r="G36" s="47"/>
      <c r="H36" s="47"/>
      <c r="I36" s="47"/>
      <c r="J36" s="47"/>
      <c r="K36" s="106"/>
    </row>
    <row r="37" spans="2:23" ht="11.25">
      <c r="B37" s="169">
        <f>B33-B34-B35-B36</f>
        <v>139750</v>
      </c>
      <c r="C37" s="169"/>
      <c r="D37" s="169"/>
      <c r="E37" s="107" t="s">
        <v>71</v>
      </c>
      <c r="G37" s="47"/>
      <c r="H37" s="47"/>
      <c r="I37" s="47"/>
      <c r="J37" s="47"/>
      <c r="K37" s="106"/>
      <c r="Q37" s="126" t="s">
        <v>98</v>
      </c>
      <c r="R37" s="126"/>
      <c r="S37" s="126"/>
      <c r="T37" s="126"/>
      <c r="U37" s="126"/>
      <c r="V37" s="126"/>
      <c r="W37" s="126"/>
    </row>
    <row r="38" spans="2:23" ht="11.25">
      <c r="B38" s="166">
        <v>60000</v>
      </c>
      <c r="C38" s="167"/>
      <c r="D38" s="168"/>
      <c r="E38" s="108" t="s">
        <v>108</v>
      </c>
      <c r="H38" s="109"/>
      <c r="I38" s="47"/>
      <c r="J38" s="110"/>
      <c r="K38" s="106"/>
      <c r="Q38" s="6" t="s">
        <v>99</v>
      </c>
      <c r="V38" s="122">
        <f>IF(B42,B45/B42,"n/a")</f>
        <v>0.5483870967741935</v>
      </c>
      <c r="W38" s="122"/>
    </row>
    <row r="39" spans="2:23" ht="11.25">
      <c r="B39" s="169">
        <f>B37-B38</f>
        <v>79750</v>
      </c>
      <c r="C39" s="169"/>
      <c r="D39" s="169"/>
      <c r="E39" s="107" t="s">
        <v>109</v>
      </c>
      <c r="H39" s="109"/>
      <c r="I39" s="47"/>
      <c r="J39" s="110"/>
      <c r="K39" s="106"/>
      <c r="P39" s="63"/>
      <c r="Q39" s="6" t="s">
        <v>100</v>
      </c>
      <c r="V39" s="122">
        <f>IF(B43,B45/B43,"n/a")</f>
        <v>0.68</v>
      </c>
      <c r="W39" s="122"/>
    </row>
    <row r="40" spans="2:23" ht="11.25">
      <c r="B40" s="111"/>
      <c r="C40" s="111"/>
      <c r="D40" s="111"/>
      <c r="E40" s="107"/>
      <c r="H40" s="109"/>
      <c r="I40" s="47"/>
      <c r="J40" s="110"/>
      <c r="K40" s="106"/>
      <c r="P40" s="63"/>
      <c r="Q40" s="6" t="s">
        <v>102</v>
      </c>
      <c r="V40" s="122">
        <f>IF(B42,(B42-B45)/B42,"n/a")</f>
        <v>0.45161290322580644</v>
      </c>
      <c r="W40" s="122"/>
    </row>
    <row r="41" spans="2:23" ht="11.25">
      <c r="B41" s="170">
        <v>300000</v>
      </c>
      <c r="C41" s="171"/>
      <c r="D41" s="172"/>
      <c r="E41" s="105" t="s">
        <v>124</v>
      </c>
      <c r="H41" s="109"/>
      <c r="I41" s="47"/>
      <c r="J41" s="110"/>
      <c r="K41" s="106"/>
      <c r="P41" s="63"/>
      <c r="Q41" s="6" t="s">
        <v>101</v>
      </c>
      <c r="V41" s="122">
        <f>IF(B43,(B43-B45)/B43,"n/a")</f>
        <v>0.32</v>
      </c>
      <c r="W41" s="122"/>
    </row>
    <row r="42" spans="2:23" ht="11.25">
      <c r="B42" s="166">
        <f>1500000+50000</f>
        <v>1550000</v>
      </c>
      <c r="C42" s="167"/>
      <c r="D42" s="168"/>
      <c r="E42" s="105" t="s">
        <v>111</v>
      </c>
      <c r="H42" s="109"/>
      <c r="I42" s="47"/>
      <c r="J42" s="110"/>
      <c r="K42" s="106"/>
      <c r="P42" s="63"/>
      <c r="Q42" s="6" t="s">
        <v>103</v>
      </c>
      <c r="V42" s="175">
        <f>IF((B42-B45),B45/(B42-B45),"n/a")</f>
        <v>1.2142857142857142</v>
      </c>
      <c r="W42" s="141"/>
    </row>
    <row r="43" spans="2:23" ht="12" customHeight="1">
      <c r="B43" s="166">
        <f>1200000+50000</f>
        <v>1250000</v>
      </c>
      <c r="C43" s="167"/>
      <c r="D43" s="168"/>
      <c r="E43" s="105" t="s">
        <v>110</v>
      </c>
      <c r="H43" s="47"/>
      <c r="I43" s="47"/>
      <c r="J43" s="106"/>
      <c r="K43" s="106"/>
      <c r="L43" s="63"/>
      <c r="M43" s="63"/>
      <c r="N43" s="63"/>
      <c r="O43" s="63"/>
      <c r="P43" s="63"/>
      <c r="Q43" s="6" t="s">
        <v>104</v>
      </c>
      <c r="R43" s="63"/>
      <c r="S43" s="63"/>
      <c r="V43" s="141">
        <f>IF((B43-B45),B45/(B43-B45),"n/a")</f>
        <v>2.125</v>
      </c>
      <c r="W43" s="141"/>
    </row>
    <row r="44" spans="2:19" ht="11.25">
      <c r="B44" s="170">
        <f>200000+0</f>
        <v>200000</v>
      </c>
      <c r="C44" s="171"/>
      <c r="D44" s="172"/>
      <c r="E44" s="105" t="s">
        <v>125</v>
      </c>
      <c r="H44" s="47"/>
      <c r="I44" s="47"/>
      <c r="J44" s="106"/>
      <c r="K44" s="106"/>
      <c r="L44" s="63"/>
      <c r="M44" s="63"/>
      <c r="N44" s="63"/>
      <c r="O44" s="63"/>
      <c r="Q44" s="63"/>
      <c r="R44" s="63"/>
      <c r="S44" s="63"/>
    </row>
    <row r="45" spans="2:23" ht="11.25">
      <c r="B45" s="166">
        <f>800000+50000</f>
        <v>850000</v>
      </c>
      <c r="C45" s="167"/>
      <c r="D45" s="168"/>
      <c r="E45" s="105" t="s">
        <v>112</v>
      </c>
      <c r="N45" s="63"/>
      <c r="O45" s="63"/>
      <c r="Q45" s="126" t="s">
        <v>76</v>
      </c>
      <c r="R45" s="126"/>
      <c r="S45" s="126"/>
      <c r="T45" s="126"/>
      <c r="U45" s="126"/>
      <c r="V45" s="126"/>
      <c r="W45" s="126"/>
    </row>
    <row r="46" spans="17:23" ht="11.25">
      <c r="Q46" s="6" t="s">
        <v>56</v>
      </c>
      <c r="V46" s="122">
        <f>IF($B$33,B34/$B$33,"n/a")</f>
        <v>0.5805412371134021</v>
      </c>
      <c r="W46" s="122"/>
    </row>
    <row r="47" spans="2:23" ht="11.25">
      <c r="B47" s="6" t="str">
        <f>"Average farm assets, "&amp;IF(A102=1,"market",IF(A102=2,"book","n/a"))</f>
        <v>Average farm assets, market</v>
      </c>
      <c r="I47" s="176">
        <f>N30</f>
        <v>1850000</v>
      </c>
      <c r="J47" s="176"/>
      <c r="K47" s="176"/>
      <c r="Q47" s="6" t="s">
        <v>57</v>
      </c>
      <c r="V47" s="122">
        <f>IF($B$33,B35/$B$33,"n/a")</f>
        <v>0.13659793814432988</v>
      </c>
      <c r="W47" s="122"/>
    </row>
    <row r="48" spans="2:23" ht="11.25">
      <c r="B48" s="6" t="s">
        <v>92</v>
      </c>
      <c r="H48" s="102" t="s">
        <v>96</v>
      </c>
      <c r="I48" s="128">
        <f>H18</f>
        <v>0.08621621621621621</v>
      </c>
      <c r="J48" s="129"/>
      <c r="K48" s="129"/>
      <c r="L48" s="63"/>
      <c r="M48" s="63"/>
      <c r="Q48" s="6" t="s">
        <v>58</v>
      </c>
      <c r="V48" s="122">
        <f>IF($B$33,B36/$B$33,"n/a")</f>
        <v>0.10277061855670103</v>
      </c>
      <c r="W48" s="122"/>
    </row>
    <row r="49" spans="2:23" ht="11.25">
      <c r="B49" s="6" t="s">
        <v>93</v>
      </c>
      <c r="H49" s="103" t="s">
        <v>91</v>
      </c>
      <c r="I49" s="127">
        <f>IF(AND(ISNUMBER(I47),ISNUMBER(I48)),I47*I48,"n/a")</f>
        <v>159500</v>
      </c>
      <c r="J49" s="127"/>
      <c r="K49" s="125"/>
      <c r="L49" s="63"/>
      <c r="M49" s="63"/>
      <c r="Q49" s="6" t="s">
        <v>59</v>
      </c>
      <c r="V49" s="122">
        <f>IF($B$33,B37/$B$33,"n/a")</f>
        <v>0.180090206185567</v>
      </c>
      <c r="W49" s="122"/>
    </row>
    <row r="50" spans="2:16" ht="11.25">
      <c r="B50" s="6" t="s">
        <v>94</v>
      </c>
      <c r="H50" s="102" t="s">
        <v>95</v>
      </c>
      <c r="I50" s="123">
        <f>B36</f>
        <v>79750</v>
      </c>
      <c r="J50" s="123"/>
      <c r="K50" s="177"/>
      <c r="L50" s="63"/>
      <c r="M50" s="63"/>
      <c r="N50" s="63"/>
      <c r="O50" s="63"/>
      <c r="P50" s="63"/>
    </row>
    <row r="51" spans="2:13" ht="12" customHeight="1">
      <c r="B51" s="6" t="s">
        <v>107</v>
      </c>
      <c r="H51" s="103" t="s">
        <v>91</v>
      </c>
      <c r="I51" s="124">
        <f>IF(AND(ISNUMBER(I49),ISNUMBER(I50)),I49-I50,"n/a")</f>
        <v>79750</v>
      </c>
      <c r="J51" s="124"/>
      <c r="K51" s="125"/>
      <c r="L51" s="63"/>
      <c r="M51" s="63"/>
    </row>
    <row r="52" spans="14:23" ht="11.25">
      <c r="N52" s="173" t="s">
        <v>105</v>
      </c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ht="12" customHeight="1">
      <c r="B53" s="6" t="str">
        <f>"Average farm equity, "&amp;IF(A102=1,"market",IF(A102=2,"book","n/a"))</f>
        <v>Average farm equity, market</v>
      </c>
      <c r="I53" s="176">
        <f>Q24</f>
        <v>800000</v>
      </c>
      <c r="J53" s="176"/>
      <c r="K53" s="176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ht="12" customHeight="1">
      <c r="B54" s="6" t="s">
        <v>97</v>
      </c>
      <c r="H54" s="102" t="s">
        <v>96</v>
      </c>
      <c r="I54" s="128">
        <f>K6</f>
        <v>0.09968749999999998</v>
      </c>
      <c r="J54" s="129"/>
      <c r="K54" s="129"/>
      <c r="N54" s="174" t="s">
        <v>127</v>
      </c>
      <c r="O54" s="174"/>
      <c r="P54" s="174"/>
      <c r="Q54" s="174"/>
      <c r="R54" s="174"/>
      <c r="S54" s="174"/>
      <c r="T54" s="174"/>
      <c r="U54" s="174"/>
      <c r="V54" s="174"/>
      <c r="W54" s="174"/>
    </row>
    <row r="55" spans="2:23" ht="12" customHeight="1">
      <c r="B55" s="6" t="s">
        <v>107</v>
      </c>
      <c r="H55" s="103" t="s">
        <v>91</v>
      </c>
      <c r="I55" s="127">
        <f>IF(AND(ISNUMBER(I53),ISNUMBER(I54)),I53*I54,"n/a")</f>
        <v>79749.99999999999</v>
      </c>
      <c r="J55" s="127"/>
      <c r="K55" s="125"/>
      <c r="N55" s="173" t="s">
        <v>126</v>
      </c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ht="11.25">
      <c r="B56" s="6" t="s">
        <v>37</v>
      </c>
      <c r="H56" s="102" t="s">
        <v>106</v>
      </c>
      <c r="I56" s="123">
        <f>B38</f>
        <v>60000</v>
      </c>
      <c r="J56" s="123"/>
      <c r="K56" s="12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ht="11.25">
      <c r="B57" s="6" t="s">
        <v>123</v>
      </c>
      <c r="H57" s="103" t="s">
        <v>91</v>
      </c>
      <c r="I57" s="124">
        <f>IF(AND(ISNUMBER(I55),ISNUMBER(I56)),I55+I56,"n/a")</f>
        <v>139750</v>
      </c>
      <c r="J57" s="124"/>
      <c r="K57" s="125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102" ht="11.25" hidden="1">
      <c r="A102" s="112">
        <v>1</v>
      </c>
    </row>
  </sheetData>
  <sheetProtection/>
  <mergeCells count="76">
    <mergeCell ref="V42:W42"/>
    <mergeCell ref="V43:W43"/>
    <mergeCell ref="I47:K47"/>
    <mergeCell ref="V48:W48"/>
    <mergeCell ref="I53:K53"/>
    <mergeCell ref="I49:K49"/>
    <mergeCell ref="I51:K51"/>
    <mergeCell ref="I50:K50"/>
    <mergeCell ref="V49:W49"/>
    <mergeCell ref="I48:K48"/>
    <mergeCell ref="N55:W57"/>
    <mergeCell ref="N54:W54"/>
    <mergeCell ref="N52:W53"/>
    <mergeCell ref="B35:D35"/>
    <mergeCell ref="B42:D42"/>
    <mergeCell ref="B45:D45"/>
    <mergeCell ref="B37:D37"/>
    <mergeCell ref="B43:D43"/>
    <mergeCell ref="B36:D36"/>
    <mergeCell ref="B38:D38"/>
    <mergeCell ref="B39:D39"/>
    <mergeCell ref="B41:D41"/>
    <mergeCell ref="B44:D44"/>
    <mergeCell ref="B34:D34"/>
    <mergeCell ref="K3:N5"/>
    <mergeCell ref="K6:N6"/>
    <mergeCell ref="K9:N11"/>
    <mergeCell ref="K12:N12"/>
    <mergeCell ref="E9:H11"/>
    <mergeCell ref="E12:H12"/>
    <mergeCell ref="L28:M29"/>
    <mergeCell ref="F28:G29"/>
    <mergeCell ref="E21:H23"/>
    <mergeCell ref="B33:D33"/>
    <mergeCell ref="I22:J23"/>
    <mergeCell ref="E24:H24"/>
    <mergeCell ref="H27:K29"/>
    <mergeCell ref="B30:E30"/>
    <mergeCell ref="B27:E29"/>
    <mergeCell ref="K24:N24"/>
    <mergeCell ref="I10:J11"/>
    <mergeCell ref="N15:Q17"/>
    <mergeCell ref="N18:Q18"/>
    <mergeCell ref="L16:M17"/>
    <mergeCell ref="Q9:T11"/>
    <mergeCell ref="Q12:T12"/>
    <mergeCell ref="T15:W17"/>
    <mergeCell ref="T18:W18"/>
    <mergeCell ref="H15:K17"/>
    <mergeCell ref="H18:K18"/>
    <mergeCell ref="Q37:W37"/>
    <mergeCell ref="V38:W38"/>
    <mergeCell ref="V39:W39"/>
    <mergeCell ref="Q33:W33"/>
    <mergeCell ref="V34:W34"/>
    <mergeCell ref="U35:W35"/>
    <mergeCell ref="R28:S29"/>
    <mergeCell ref="N27:Q29"/>
    <mergeCell ref="N30:Q30"/>
    <mergeCell ref="T27:W29"/>
    <mergeCell ref="T30:W30"/>
    <mergeCell ref="O10:P11"/>
    <mergeCell ref="U22:V23"/>
    <mergeCell ref="Q21:T23"/>
    <mergeCell ref="Q24:T24"/>
    <mergeCell ref="K21:N23"/>
    <mergeCell ref="H30:K30"/>
    <mergeCell ref="V40:W40"/>
    <mergeCell ref="V41:W41"/>
    <mergeCell ref="I56:K56"/>
    <mergeCell ref="I57:K57"/>
    <mergeCell ref="V46:W46"/>
    <mergeCell ref="V47:W47"/>
    <mergeCell ref="Q45:W45"/>
    <mergeCell ref="I55:K55"/>
    <mergeCell ref="I54:K54"/>
  </mergeCells>
  <printOptions horizontalCentered="1"/>
  <pageMargins left="0.25" right="0.25" top="0.5" bottom="0.5" header="0.25" footer="0.25"/>
  <pageSetup fitToHeight="1" fitToWidth="1" horizontalDpi="300" verticalDpi="300" orientation="portrait" r:id="rId4"/>
  <headerFooter alignWithMargins="0">
    <oddFooter>&amp;L&amp;G
Copyright 1993-05&amp;CCASE #3&amp;R&amp;D</oddFoot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2"/>
  <sheetViews>
    <sheetView zoomScale="110" zoomScaleNormal="110" zoomScalePageLayoutView="0" workbookViewId="0" topLeftCell="A1">
      <selection activeCell="A1" sqref="A1:IV16384"/>
    </sheetView>
  </sheetViews>
  <sheetFormatPr defaultColWidth="0" defaultRowHeight="12" customHeight="1" zeroHeight="1"/>
  <cols>
    <col min="1" max="1" width="0.42578125" style="6" customWidth="1"/>
    <col min="2" max="23" width="4.7109375" style="6" customWidth="1"/>
    <col min="24" max="24" width="0.42578125" style="6" customWidth="1"/>
    <col min="25" max="16384" width="5.28125" style="6" hidden="1" customWidth="1"/>
  </cols>
  <sheetData>
    <row r="1" spans="2:23" s="1" customFormat="1" ht="12.75">
      <c r="B1" s="2" t="str">
        <f>"BASE CASE - Simple DU PONT FINANCIAL ANALYSIS MODEL: "&amp;IF(A102=1,"MARKET",IF(A102=2,"BOOK",NA()))&amp;" BASIS"</f>
        <v>BASE CASE - Simple DU PONT FINANCIAL ANALYSIS MODEL: MARKET BASIS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</row>
    <row r="3" spans="2:23" ht="12">
      <c r="B3" s="7"/>
      <c r="C3" s="7"/>
      <c r="D3" s="8"/>
      <c r="E3" s="7"/>
      <c r="F3" s="7"/>
      <c r="G3" s="7"/>
      <c r="H3" s="7"/>
      <c r="I3" s="7"/>
      <c r="J3" s="7"/>
      <c r="K3" s="132" t="s">
        <v>90</v>
      </c>
      <c r="L3" s="133"/>
      <c r="M3" s="133"/>
      <c r="N3" s="134"/>
      <c r="O3" s="8"/>
      <c r="P3" s="8"/>
      <c r="Q3" s="8"/>
      <c r="R3" s="8"/>
      <c r="S3" s="8"/>
      <c r="T3" s="7"/>
      <c r="U3" s="9"/>
      <c r="V3" s="7"/>
      <c r="W3" s="7"/>
    </row>
    <row r="4" spans="2:23" ht="12">
      <c r="B4" s="7"/>
      <c r="C4" s="7"/>
      <c r="D4" s="8"/>
      <c r="E4" s="7"/>
      <c r="F4" s="7"/>
      <c r="G4" s="7"/>
      <c r="H4" s="7"/>
      <c r="I4" s="7"/>
      <c r="J4" s="7"/>
      <c r="K4" s="135"/>
      <c r="L4" s="136"/>
      <c r="M4" s="136"/>
      <c r="N4" s="137"/>
      <c r="O4" s="8"/>
      <c r="P4" s="8"/>
      <c r="Q4" s="8"/>
      <c r="R4" s="8"/>
      <c r="S4" s="8"/>
      <c r="T4" s="7"/>
      <c r="U4" s="9"/>
      <c r="V4" s="8"/>
      <c r="W4" s="8"/>
    </row>
    <row r="5" spans="2:23" ht="12">
      <c r="B5" s="7"/>
      <c r="C5" s="7"/>
      <c r="D5" s="8"/>
      <c r="E5" s="7"/>
      <c r="F5" s="7"/>
      <c r="G5" s="7"/>
      <c r="H5" s="7"/>
      <c r="I5" s="7"/>
      <c r="J5" s="7"/>
      <c r="K5" s="135"/>
      <c r="L5" s="136"/>
      <c r="M5" s="136"/>
      <c r="N5" s="137"/>
      <c r="O5" s="8"/>
      <c r="P5" s="8"/>
      <c r="Q5" s="8"/>
      <c r="R5" s="8"/>
      <c r="S5" s="8"/>
      <c r="T5" s="7"/>
      <c r="U5" s="9"/>
      <c r="V5" s="8"/>
      <c r="W5" s="8"/>
    </row>
    <row r="6" spans="2:23" ht="12">
      <c r="B6" s="7"/>
      <c r="C6" s="7"/>
      <c r="D6" s="8"/>
      <c r="E6" s="7"/>
      <c r="F6" s="7"/>
      <c r="G6" s="7"/>
      <c r="H6" s="7"/>
      <c r="I6" s="7"/>
      <c r="J6" s="10"/>
      <c r="K6" s="162">
        <f>IF(AND(ISNUMBER(E12),ISNUMBER(K12),ISNUMBER(Q12)),E12+(K12*Q12),"n/a")</f>
        <v>0.05499999999999998</v>
      </c>
      <c r="L6" s="163"/>
      <c r="M6" s="163"/>
      <c r="N6" s="164"/>
      <c r="O6" s="8"/>
      <c r="P6" s="8"/>
      <c r="Q6" s="8"/>
      <c r="R6" s="8"/>
      <c r="S6" s="8"/>
      <c r="T6" s="7"/>
      <c r="U6" s="9"/>
      <c r="V6" s="8"/>
      <c r="W6" s="8"/>
    </row>
    <row r="7" spans="2:23" ht="11.25">
      <c r="B7" s="7"/>
      <c r="C7" s="7"/>
      <c r="D7" s="8"/>
      <c r="E7" s="7"/>
      <c r="F7" s="7"/>
      <c r="G7" s="7"/>
      <c r="H7" s="7"/>
      <c r="I7" s="7"/>
      <c r="J7" s="10"/>
      <c r="K7" s="8"/>
      <c r="L7" s="11"/>
      <c r="M7" s="9"/>
      <c r="N7" s="8"/>
      <c r="O7" s="8"/>
      <c r="P7" s="8"/>
      <c r="Q7" s="8"/>
      <c r="R7" s="8"/>
      <c r="S7" s="8"/>
      <c r="T7" s="7"/>
      <c r="U7" s="9"/>
      <c r="V7" s="8"/>
      <c r="W7" s="8"/>
    </row>
    <row r="8" spans="2:23" ht="11.25">
      <c r="B8" s="7"/>
      <c r="C8" s="7"/>
      <c r="D8" s="8"/>
      <c r="E8" s="7"/>
      <c r="F8" s="7"/>
      <c r="G8" s="12"/>
      <c r="H8" s="13"/>
      <c r="I8" s="13"/>
      <c r="J8" s="14"/>
      <c r="K8" s="15"/>
      <c r="L8" s="15"/>
      <c r="M8" s="16"/>
      <c r="N8" s="15"/>
      <c r="O8" s="15"/>
      <c r="P8" s="15"/>
      <c r="Q8" s="15"/>
      <c r="R8" s="13"/>
      <c r="S8" s="17"/>
      <c r="T8" s="9"/>
      <c r="U8" s="8"/>
      <c r="V8" s="8"/>
      <c r="W8" s="8"/>
    </row>
    <row r="9" spans="2:23" ht="11.25">
      <c r="B9" s="7"/>
      <c r="C9" s="7"/>
      <c r="D9" s="8"/>
      <c r="E9" s="144" t="str">
        <f>H15</f>
        <v>Return on average farm assets (ROA)</v>
      </c>
      <c r="F9" s="152"/>
      <c r="G9" s="152"/>
      <c r="H9" s="153"/>
      <c r="I9" s="8"/>
      <c r="J9" s="8"/>
      <c r="K9" s="132" t="s">
        <v>65</v>
      </c>
      <c r="L9" s="133"/>
      <c r="M9" s="133"/>
      <c r="N9" s="134"/>
      <c r="O9" s="8"/>
      <c r="P9" s="8"/>
      <c r="Q9" s="144" t="str">
        <f>T15</f>
        <v>Average debt/equity ratio</v>
      </c>
      <c r="R9" s="152"/>
      <c r="S9" s="152"/>
      <c r="T9" s="153"/>
      <c r="U9" s="8"/>
      <c r="V9" s="8"/>
      <c r="W9" s="8"/>
    </row>
    <row r="10" spans="2:23" ht="11.25">
      <c r="B10" s="7"/>
      <c r="C10" s="7"/>
      <c r="D10" s="8"/>
      <c r="E10" s="154"/>
      <c r="F10" s="143"/>
      <c r="G10" s="143"/>
      <c r="H10" s="155"/>
      <c r="I10" s="143" t="s">
        <v>3</v>
      </c>
      <c r="J10" s="131"/>
      <c r="K10" s="135"/>
      <c r="L10" s="136"/>
      <c r="M10" s="136"/>
      <c r="N10" s="137"/>
      <c r="O10" s="138" t="s">
        <v>0</v>
      </c>
      <c r="P10" s="139"/>
      <c r="Q10" s="154"/>
      <c r="R10" s="143"/>
      <c r="S10" s="143"/>
      <c r="T10" s="155"/>
      <c r="U10" s="8"/>
      <c r="V10" s="19"/>
      <c r="W10" s="8"/>
    </row>
    <row r="11" spans="2:23" ht="11.25">
      <c r="B11" s="7"/>
      <c r="C11" s="7"/>
      <c r="D11" s="8"/>
      <c r="E11" s="154"/>
      <c r="F11" s="143"/>
      <c r="G11" s="143"/>
      <c r="H11" s="155"/>
      <c r="I11" s="143"/>
      <c r="J11" s="131"/>
      <c r="K11" s="135"/>
      <c r="L11" s="136"/>
      <c r="M11" s="136"/>
      <c r="N11" s="137"/>
      <c r="O11" s="138"/>
      <c r="P11" s="139"/>
      <c r="Q11" s="154"/>
      <c r="R11" s="143"/>
      <c r="S11" s="143"/>
      <c r="T11" s="155"/>
      <c r="U11" s="20"/>
      <c r="V11" s="19"/>
      <c r="W11" s="8"/>
    </row>
    <row r="12" spans="2:23" ht="11.25">
      <c r="B12" s="7"/>
      <c r="C12" s="7"/>
      <c r="D12" s="8"/>
      <c r="E12" s="149">
        <f>H18</f>
        <v>0.06777777777777777</v>
      </c>
      <c r="F12" s="150"/>
      <c r="G12" s="150"/>
      <c r="H12" s="151"/>
      <c r="I12" s="8"/>
      <c r="J12" s="8"/>
      <c r="K12" s="162">
        <f>IF(AND(ISNUMBER(H18),ISNUMBER(N18)),H18-N18,"n/a")</f>
        <v>-0.01022222222222223</v>
      </c>
      <c r="L12" s="163"/>
      <c r="M12" s="163"/>
      <c r="N12" s="164"/>
      <c r="O12" s="8"/>
      <c r="P12" s="8"/>
      <c r="Q12" s="156">
        <f>T18</f>
        <v>1.25</v>
      </c>
      <c r="R12" s="157"/>
      <c r="S12" s="157"/>
      <c r="T12" s="158"/>
      <c r="U12" s="21"/>
      <c r="V12" s="8"/>
      <c r="W12" s="8"/>
    </row>
    <row r="13" spans="2:23" ht="11.25">
      <c r="B13" s="7"/>
      <c r="C13" s="7"/>
      <c r="D13" s="7"/>
      <c r="E13" s="7"/>
      <c r="F13" s="7"/>
      <c r="G13" s="22"/>
      <c r="H13" s="8"/>
      <c r="I13" s="8"/>
      <c r="J13" s="8"/>
      <c r="K13" s="8"/>
      <c r="L13" s="8"/>
      <c r="M13" s="23"/>
      <c r="N13" s="8"/>
      <c r="O13" s="8"/>
      <c r="P13" s="8"/>
      <c r="Q13" s="8"/>
      <c r="R13" s="8"/>
      <c r="S13" s="8"/>
      <c r="T13" s="8"/>
      <c r="U13" s="21"/>
      <c r="V13" s="8"/>
      <c r="W13" s="8"/>
    </row>
    <row r="14" spans="2:23" ht="11.25">
      <c r="B14" s="7"/>
      <c r="C14" s="7"/>
      <c r="D14" s="7"/>
      <c r="E14" s="7"/>
      <c r="F14" s="7"/>
      <c r="G14" s="22"/>
      <c r="H14" s="7"/>
      <c r="I14" s="7"/>
      <c r="J14" s="24"/>
      <c r="K14" s="13"/>
      <c r="L14" s="13"/>
      <c r="M14" s="7"/>
      <c r="N14" s="13"/>
      <c r="O14" s="13"/>
      <c r="P14" s="25"/>
      <c r="Q14" s="7"/>
      <c r="R14" s="8"/>
      <c r="S14" s="8"/>
      <c r="T14" s="7"/>
      <c r="U14" s="26"/>
      <c r="V14" s="8"/>
      <c r="W14" s="8"/>
    </row>
    <row r="15" spans="2:23" ht="11.25">
      <c r="B15" s="8"/>
      <c r="C15" s="8"/>
      <c r="D15" s="8"/>
      <c r="E15" s="8"/>
      <c r="F15" s="8"/>
      <c r="G15" s="27"/>
      <c r="H15" s="132" t="s">
        <v>62</v>
      </c>
      <c r="I15" s="133"/>
      <c r="J15" s="133"/>
      <c r="K15" s="134"/>
      <c r="L15" s="9"/>
      <c r="M15" s="8"/>
      <c r="N15" s="144" t="s">
        <v>64</v>
      </c>
      <c r="O15" s="145"/>
      <c r="P15" s="145"/>
      <c r="Q15" s="146"/>
      <c r="R15" s="8"/>
      <c r="S15" s="8"/>
      <c r="T15" s="132" t="s">
        <v>54</v>
      </c>
      <c r="U15" s="133"/>
      <c r="V15" s="133"/>
      <c r="W15" s="134"/>
    </row>
    <row r="16" spans="2:23" ht="11.25">
      <c r="B16" s="7"/>
      <c r="C16" s="7"/>
      <c r="D16" s="8"/>
      <c r="E16" s="8"/>
      <c r="F16" s="8"/>
      <c r="G16" s="28"/>
      <c r="H16" s="135"/>
      <c r="I16" s="136"/>
      <c r="J16" s="136"/>
      <c r="K16" s="137"/>
      <c r="L16" s="130" t="s">
        <v>52</v>
      </c>
      <c r="M16" s="143"/>
      <c r="N16" s="147"/>
      <c r="O16" s="136"/>
      <c r="P16" s="136"/>
      <c r="Q16" s="148"/>
      <c r="R16" s="8"/>
      <c r="S16" s="8"/>
      <c r="T16" s="135"/>
      <c r="U16" s="136"/>
      <c r="V16" s="136"/>
      <c r="W16" s="137"/>
    </row>
    <row r="17" spans="2:23" ht="11.25">
      <c r="B17" s="7"/>
      <c r="C17" s="7"/>
      <c r="D17" s="8"/>
      <c r="E17" s="8"/>
      <c r="F17" s="8"/>
      <c r="G17" s="8"/>
      <c r="H17" s="135"/>
      <c r="I17" s="136"/>
      <c r="J17" s="136"/>
      <c r="K17" s="137"/>
      <c r="L17" s="130"/>
      <c r="M17" s="143"/>
      <c r="N17" s="147"/>
      <c r="O17" s="136"/>
      <c r="P17" s="136"/>
      <c r="Q17" s="148"/>
      <c r="R17" s="8"/>
      <c r="S17" s="8"/>
      <c r="T17" s="135"/>
      <c r="U17" s="136"/>
      <c r="V17" s="136"/>
      <c r="W17" s="137"/>
    </row>
    <row r="18" spans="2:23" ht="11.25">
      <c r="B18" s="8"/>
      <c r="C18" s="8"/>
      <c r="D18" s="8"/>
      <c r="E18" s="8"/>
      <c r="F18" s="8"/>
      <c r="G18" s="8"/>
      <c r="H18" s="162">
        <f>IF(AND(ISNUMBER(E24),ISNUMBER(K24)),E24*K24,"n/a")</f>
        <v>0.06777777777777777</v>
      </c>
      <c r="I18" s="163"/>
      <c r="J18" s="163"/>
      <c r="K18" s="164"/>
      <c r="L18" s="9"/>
      <c r="M18" s="8"/>
      <c r="N18" s="149">
        <f>IF(T30,B36/T30,"n/a")</f>
        <v>0.078</v>
      </c>
      <c r="O18" s="150"/>
      <c r="P18" s="150"/>
      <c r="Q18" s="151"/>
      <c r="R18" s="8"/>
      <c r="S18" s="8"/>
      <c r="T18" s="159">
        <f>IF(Q24,T30/Q24,"n/a")</f>
        <v>1.25</v>
      </c>
      <c r="U18" s="160"/>
      <c r="V18" s="160"/>
      <c r="W18" s="161"/>
    </row>
    <row r="19" spans="2:23" ht="11.25">
      <c r="B19" s="7"/>
      <c r="C19" s="7"/>
      <c r="D19" s="7"/>
      <c r="E19" s="7"/>
      <c r="F19" s="7"/>
      <c r="G19" s="18"/>
      <c r="H19" s="29"/>
      <c r="I19" s="29"/>
      <c r="J19" s="24"/>
      <c r="K19" s="29"/>
      <c r="L19" s="29"/>
      <c r="M19" s="7"/>
      <c r="N19" s="7"/>
      <c r="O19" s="7"/>
      <c r="P19" s="7"/>
      <c r="Q19" s="9"/>
      <c r="R19" s="7"/>
      <c r="S19" s="7"/>
      <c r="T19" s="7"/>
      <c r="U19" s="11"/>
      <c r="V19" s="19"/>
      <c r="W19" s="8"/>
    </row>
    <row r="20" spans="2:23" ht="11.25">
      <c r="B20" s="8"/>
      <c r="C20" s="8"/>
      <c r="D20" s="8"/>
      <c r="E20" s="7"/>
      <c r="F20" s="7"/>
      <c r="G20" s="24"/>
      <c r="H20" s="30"/>
      <c r="I20" s="7"/>
      <c r="J20" s="7"/>
      <c r="K20" s="7"/>
      <c r="L20" s="31"/>
      <c r="M20" s="29"/>
      <c r="N20" s="7"/>
      <c r="O20" s="7"/>
      <c r="P20" s="7"/>
      <c r="Q20" s="8"/>
      <c r="R20" s="8"/>
      <c r="S20" s="24"/>
      <c r="T20" s="15"/>
      <c r="U20" s="32"/>
      <c r="V20" s="19"/>
      <c r="W20" s="8"/>
    </row>
    <row r="21" spans="2:23" ht="11.25">
      <c r="B21" s="8"/>
      <c r="C21" s="8"/>
      <c r="D21" s="8"/>
      <c r="E21" s="132" t="s">
        <v>53</v>
      </c>
      <c r="F21" s="133"/>
      <c r="G21" s="133"/>
      <c r="H21" s="134"/>
      <c r="I21" s="8"/>
      <c r="J21" s="7"/>
      <c r="K21" s="132" t="s">
        <v>63</v>
      </c>
      <c r="L21" s="133"/>
      <c r="M21" s="133"/>
      <c r="N21" s="134"/>
      <c r="O21" s="9"/>
      <c r="P21" s="9"/>
      <c r="Q21" s="132" t="str">
        <f>"Average farm
equity, "&amp;IF(A102=1,"market",IF(A102=2,"book","n/a"))</f>
        <v>Average farm
equity, market</v>
      </c>
      <c r="R21" s="133"/>
      <c r="S21" s="133"/>
      <c r="T21" s="134"/>
      <c r="U21" s="33"/>
      <c r="V21" s="8"/>
      <c r="W21" s="8"/>
    </row>
    <row r="22" spans="2:23" ht="11.25">
      <c r="B22" s="8"/>
      <c r="C22" s="8"/>
      <c r="D22" s="8"/>
      <c r="E22" s="135"/>
      <c r="F22" s="136"/>
      <c r="G22" s="136"/>
      <c r="H22" s="137"/>
      <c r="I22" s="138" t="s">
        <v>0</v>
      </c>
      <c r="J22" s="139"/>
      <c r="K22" s="135"/>
      <c r="L22" s="136"/>
      <c r="M22" s="136"/>
      <c r="N22" s="137"/>
      <c r="O22" s="9"/>
      <c r="P22" s="7"/>
      <c r="Q22" s="135"/>
      <c r="R22" s="136"/>
      <c r="S22" s="136"/>
      <c r="T22" s="137"/>
      <c r="U22" s="138" t="s">
        <v>1</v>
      </c>
      <c r="V22" s="140"/>
      <c r="W22" s="8"/>
    </row>
    <row r="23" spans="2:23" ht="11.25">
      <c r="B23" s="8"/>
      <c r="C23" s="8"/>
      <c r="D23" s="8"/>
      <c r="E23" s="135"/>
      <c r="F23" s="136"/>
      <c r="G23" s="136"/>
      <c r="H23" s="137"/>
      <c r="I23" s="138"/>
      <c r="J23" s="139"/>
      <c r="K23" s="135"/>
      <c r="L23" s="136"/>
      <c r="M23" s="136"/>
      <c r="N23" s="137"/>
      <c r="O23" s="9"/>
      <c r="P23" s="7"/>
      <c r="Q23" s="135"/>
      <c r="R23" s="136"/>
      <c r="S23" s="136"/>
      <c r="T23" s="137"/>
      <c r="U23" s="138"/>
      <c r="V23" s="140"/>
      <c r="W23" s="8"/>
    </row>
    <row r="24" spans="2:23" ht="11.25">
      <c r="B24" s="8"/>
      <c r="C24" s="8"/>
      <c r="D24" s="8"/>
      <c r="E24" s="162">
        <f>IF(H30,B30/H30,"n/a")</f>
        <v>0.15721649484536082</v>
      </c>
      <c r="F24" s="163"/>
      <c r="G24" s="163"/>
      <c r="H24" s="164"/>
      <c r="I24" s="8"/>
      <c r="J24" s="7"/>
      <c r="K24" s="162">
        <f>IF(N30,H30/N30,"n/a")</f>
        <v>0.4311111111111111</v>
      </c>
      <c r="L24" s="163"/>
      <c r="M24" s="163"/>
      <c r="N24" s="164"/>
      <c r="O24" s="9"/>
      <c r="P24" s="9"/>
      <c r="Q24" s="119">
        <f>N30-T30</f>
        <v>800000</v>
      </c>
      <c r="R24" s="120"/>
      <c r="S24" s="120"/>
      <c r="T24" s="121"/>
      <c r="U24" s="33"/>
      <c r="V24" s="8"/>
      <c r="W24" s="8"/>
    </row>
    <row r="25" spans="2:23" ht="11.25">
      <c r="B25" s="8"/>
      <c r="C25" s="8"/>
      <c r="D25" s="8"/>
      <c r="E25" s="8"/>
      <c r="F25" s="34"/>
      <c r="G25" s="24"/>
      <c r="H25" s="30"/>
      <c r="I25" s="29"/>
      <c r="J25" s="29"/>
      <c r="K25" s="29"/>
      <c r="L25" s="29"/>
      <c r="M25" s="24"/>
      <c r="N25" s="35"/>
      <c r="O25" s="29"/>
      <c r="P25" s="7"/>
      <c r="Q25" s="8"/>
      <c r="R25" s="11"/>
      <c r="S25" s="8"/>
      <c r="T25" s="8"/>
      <c r="U25" s="36"/>
      <c r="V25" s="19"/>
      <c r="W25" s="19"/>
    </row>
    <row r="26" spans="2:23" ht="11.25">
      <c r="B26" s="34"/>
      <c r="C26" s="37"/>
      <c r="D26" s="35"/>
      <c r="E26" s="38"/>
      <c r="F26" s="8"/>
      <c r="G26" s="7"/>
      <c r="H26" s="7"/>
      <c r="I26" s="7"/>
      <c r="J26" s="24"/>
      <c r="K26" s="35"/>
      <c r="L26" s="7"/>
      <c r="M26" s="7"/>
      <c r="N26" s="35"/>
      <c r="O26" s="31"/>
      <c r="P26" s="13"/>
      <c r="Q26" s="13"/>
      <c r="R26" s="13"/>
      <c r="S26" s="15"/>
      <c r="T26" s="15"/>
      <c r="U26" s="11"/>
      <c r="V26" s="39"/>
      <c r="W26" s="19"/>
    </row>
    <row r="27" spans="2:23" ht="12" customHeight="1">
      <c r="B27" s="132" t="s">
        <v>122</v>
      </c>
      <c r="C27" s="133"/>
      <c r="D27" s="133"/>
      <c r="E27" s="134"/>
      <c r="F27" s="8"/>
      <c r="G27" s="7"/>
      <c r="H27" s="132" t="s">
        <v>61</v>
      </c>
      <c r="I27" s="133"/>
      <c r="J27" s="133"/>
      <c r="K27" s="134"/>
      <c r="L27" s="8"/>
      <c r="M27" s="9"/>
      <c r="N27" s="132" t="str">
        <f>"Average farm
assets, "&amp;IF(A102=1,"market",IF(A102=2,"book","n/a"))</f>
        <v>Average farm
assets, market</v>
      </c>
      <c r="O27" s="133"/>
      <c r="P27" s="133"/>
      <c r="Q27" s="134"/>
      <c r="R27" s="9"/>
      <c r="S27" s="8"/>
      <c r="T27" s="132" t="s">
        <v>74</v>
      </c>
      <c r="U27" s="133"/>
      <c r="V27" s="133"/>
      <c r="W27" s="134"/>
    </row>
    <row r="28" spans="2:23" ht="12" customHeight="1">
      <c r="B28" s="135"/>
      <c r="C28" s="136"/>
      <c r="D28" s="136"/>
      <c r="E28" s="137"/>
      <c r="F28" s="143" t="s">
        <v>60</v>
      </c>
      <c r="G28" s="165"/>
      <c r="H28" s="135"/>
      <c r="I28" s="136"/>
      <c r="J28" s="136"/>
      <c r="K28" s="137"/>
      <c r="L28" s="143" t="s">
        <v>60</v>
      </c>
      <c r="M28" s="165"/>
      <c r="N28" s="135"/>
      <c r="O28" s="136"/>
      <c r="P28" s="136"/>
      <c r="Q28" s="137"/>
      <c r="R28" s="130" t="s">
        <v>55</v>
      </c>
      <c r="S28" s="131"/>
      <c r="T28" s="135"/>
      <c r="U28" s="136"/>
      <c r="V28" s="136"/>
      <c r="W28" s="137"/>
    </row>
    <row r="29" spans="2:23" ht="11.25">
      <c r="B29" s="135"/>
      <c r="C29" s="136"/>
      <c r="D29" s="136"/>
      <c r="E29" s="137"/>
      <c r="F29" s="165"/>
      <c r="G29" s="165"/>
      <c r="H29" s="135"/>
      <c r="I29" s="136"/>
      <c r="J29" s="136"/>
      <c r="K29" s="137"/>
      <c r="L29" s="165"/>
      <c r="M29" s="165"/>
      <c r="N29" s="135"/>
      <c r="O29" s="136"/>
      <c r="P29" s="136"/>
      <c r="Q29" s="137"/>
      <c r="R29" s="130"/>
      <c r="S29" s="131"/>
      <c r="T29" s="135"/>
      <c r="U29" s="136"/>
      <c r="V29" s="136"/>
      <c r="W29" s="137"/>
    </row>
    <row r="30" spans="2:23" ht="11.25">
      <c r="B30" s="119">
        <f>B37+B36-B38</f>
        <v>122000</v>
      </c>
      <c r="C30" s="120"/>
      <c r="D30" s="120"/>
      <c r="E30" s="121"/>
      <c r="F30" s="8"/>
      <c r="G30" s="7"/>
      <c r="H30" s="119">
        <f>B33</f>
        <v>776000</v>
      </c>
      <c r="I30" s="120"/>
      <c r="J30" s="120"/>
      <c r="K30" s="121"/>
      <c r="L30" s="8"/>
      <c r="M30" s="9"/>
      <c r="N30" s="119">
        <f>IF(A102=1,B41+B42,IF(A102=2,B41+B43,"n/a"))</f>
        <v>1800000</v>
      </c>
      <c r="O30" s="120"/>
      <c r="P30" s="120"/>
      <c r="Q30" s="121"/>
      <c r="R30" s="9"/>
      <c r="S30" s="8"/>
      <c r="T30" s="119">
        <f>B44+B45</f>
        <v>1000000</v>
      </c>
      <c r="U30" s="120"/>
      <c r="V30" s="120"/>
      <c r="W30" s="121"/>
    </row>
    <row r="31" spans="2:23" ht="6" customHeight="1" thickBo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12" customHeight="1">
      <c r="B33" s="166">
        <f>776000+0</f>
        <v>776000</v>
      </c>
      <c r="C33" s="167"/>
      <c r="D33" s="168"/>
      <c r="E33" s="105" t="s">
        <v>72</v>
      </c>
      <c r="G33" s="47"/>
      <c r="H33" s="47"/>
      <c r="I33" s="47"/>
      <c r="J33" s="106"/>
      <c r="K33" s="106"/>
      <c r="Q33" s="126" t="s">
        <v>113</v>
      </c>
      <c r="R33" s="126"/>
      <c r="S33" s="126"/>
      <c r="T33" s="126"/>
      <c r="U33" s="126"/>
      <c r="V33" s="126"/>
      <c r="W33" s="126"/>
    </row>
    <row r="34" spans="2:23" ht="11.25">
      <c r="B34" s="166">
        <v>292800</v>
      </c>
      <c r="C34" s="167"/>
      <c r="D34" s="168"/>
      <c r="E34" s="118" t="s">
        <v>128</v>
      </c>
      <c r="G34" s="47"/>
      <c r="H34" s="47"/>
      <c r="I34" s="47"/>
      <c r="J34" s="106"/>
      <c r="K34" s="106"/>
      <c r="Q34" s="6" t="s">
        <v>114</v>
      </c>
      <c r="V34" s="141">
        <f>IF(B44,B41/B44,"n/a")</f>
        <v>1.5</v>
      </c>
      <c r="W34" s="141"/>
    </row>
    <row r="35" spans="2:23" ht="11.25">
      <c r="B35" s="166">
        <v>281200</v>
      </c>
      <c r="C35" s="167"/>
      <c r="D35" s="168"/>
      <c r="E35" s="118" t="s">
        <v>129</v>
      </c>
      <c r="G35" s="47"/>
      <c r="H35" s="47"/>
      <c r="I35" s="47"/>
      <c r="J35" s="47"/>
      <c r="K35" s="106"/>
      <c r="Q35" s="6" t="s">
        <v>115</v>
      </c>
      <c r="U35" s="142">
        <f>IF(B44,B41-B44,"n/a")</f>
        <v>100000</v>
      </c>
      <c r="V35" s="142"/>
      <c r="W35" s="142"/>
    </row>
    <row r="36" spans="2:11" ht="11.25">
      <c r="B36" s="166">
        <v>78000</v>
      </c>
      <c r="C36" s="167"/>
      <c r="D36" s="168"/>
      <c r="E36" s="118" t="s">
        <v>70</v>
      </c>
      <c r="G36" s="47"/>
      <c r="H36" s="47"/>
      <c r="I36" s="47"/>
      <c r="J36" s="47"/>
      <c r="K36" s="106"/>
    </row>
    <row r="37" spans="2:23" ht="11.25">
      <c r="B37" s="169">
        <f>B33-B34-B35-B36</f>
        <v>124000</v>
      </c>
      <c r="C37" s="169"/>
      <c r="D37" s="169"/>
      <c r="E37" s="107" t="s">
        <v>71</v>
      </c>
      <c r="G37" s="47"/>
      <c r="H37" s="47"/>
      <c r="I37" s="47"/>
      <c r="J37" s="47"/>
      <c r="K37" s="106"/>
      <c r="Q37" s="126" t="s">
        <v>98</v>
      </c>
      <c r="R37" s="126"/>
      <c r="S37" s="126"/>
      <c r="T37" s="126"/>
      <c r="U37" s="126"/>
      <c r="V37" s="126"/>
      <c r="W37" s="126"/>
    </row>
    <row r="38" spans="2:23" ht="11.25">
      <c r="B38" s="166">
        <v>80000</v>
      </c>
      <c r="C38" s="167"/>
      <c r="D38" s="168"/>
      <c r="E38" s="108" t="s">
        <v>108</v>
      </c>
      <c r="H38" s="109"/>
      <c r="I38" s="47"/>
      <c r="J38" s="110"/>
      <c r="K38" s="106"/>
      <c r="Q38" s="6" t="s">
        <v>99</v>
      </c>
      <c r="V38" s="122">
        <f>IF(B42,B45/B42,"n/a")</f>
        <v>0.5333333333333333</v>
      </c>
      <c r="W38" s="122"/>
    </row>
    <row r="39" spans="2:23" ht="11.25">
      <c r="B39" s="169">
        <f>B37-B38</f>
        <v>44000</v>
      </c>
      <c r="C39" s="169"/>
      <c r="D39" s="169"/>
      <c r="E39" s="107" t="s">
        <v>109</v>
      </c>
      <c r="H39" s="109"/>
      <c r="I39" s="47"/>
      <c r="J39" s="110"/>
      <c r="K39" s="106"/>
      <c r="P39" s="63"/>
      <c r="Q39" s="6" t="s">
        <v>100</v>
      </c>
      <c r="V39" s="122">
        <f>IF(B43,B45/B43,"n/a")</f>
        <v>0.6666666666666666</v>
      </c>
      <c r="W39" s="122"/>
    </row>
    <row r="40" spans="2:23" ht="11.25">
      <c r="B40" s="111"/>
      <c r="C40" s="111"/>
      <c r="D40" s="111"/>
      <c r="E40" s="107"/>
      <c r="H40" s="109"/>
      <c r="I40" s="47"/>
      <c r="J40" s="110"/>
      <c r="K40" s="106"/>
      <c r="P40" s="63"/>
      <c r="Q40" s="6" t="s">
        <v>102</v>
      </c>
      <c r="V40" s="122">
        <f>IF(B42,(B42-B45)/B42,"n/a")</f>
        <v>0.4666666666666667</v>
      </c>
      <c r="W40" s="122"/>
    </row>
    <row r="41" spans="2:23" ht="11.25">
      <c r="B41" s="170">
        <v>300000</v>
      </c>
      <c r="C41" s="171"/>
      <c r="D41" s="172"/>
      <c r="E41" s="105" t="s">
        <v>124</v>
      </c>
      <c r="H41" s="109"/>
      <c r="I41" s="47"/>
      <c r="J41" s="110"/>
      <c r="K41" s="106"/>
      <c r="P41" s="63"/>
      <c r="Q41" s="6" t="s">
        <v>101</v>
      </c>
      <c r="V41" s="122">
        <f>IF(B43,(B43-B45)/B43,"n/a")</f>
        <v>0.3333333333333333</v>
      </c>
      <c r="W41" s="122"/>
    </row>
    <row r="42" spans="2:23" ht="11.25">
      <c r="B42" s="166">
        <f>1500000+0</f>
        <v>1500000</v>
      </c>
      <c r="C42" s="167"/>
      <c r="D42" s="168"/>
      <c r="E42" s="105" t="s">
        <v>111</v>
      </c>
      <c r="H42" s="109"/>
      <c r="I42" s="47"/>
      <c r="J42" s="110"/>
      <c r="K42" s="106"/>
      <c r="P42" s="63"/>
      <c r="Q42" s="6" t="s">
        <v>103</v>
      </c>
      <c r="V42" s="175">
        <f>IF((B42-B45),B45/(B42-B45),"n/a")</f>
        <v>1.1428571428571428</v>
      </c>
      <c r="W42" s="141"/>
    </row>
    <row r="43" spans="2:23" ht="12" customHeight="1">
      <c r="B43" s="166">
        <f>1200000+0</f>
        <v>1200000</v>
      </c>
      <c r="C43" s="167"/>
      <c r="D43" s="168"/>
      <c r="E43" s="105" t="s">
        <v>110</v>
      </c>
      <c r="H43" s="47"/>
      <c r="I43" s="47"/>
      <c r="J43" s="106"/>
      <c r="K43" s="106"/>
      <c r="L43" s="63"/>
      <c r="M43" s="63"/>
      <c r="N43" s="63"/>
      <c r="O43" s="63"/>
      <c r="P43" s="63"/>
      <c r="Q43" s="6" t="s">
        <v>104</v>
      </c>
      <c r="R43" s="63"/>
      <c r="S43" s="63"/>
      <c r="V43" s="141">
        <f>IF((B43-B45),B45/(B43-B45),"n/a")</f>
        <v>2</v>
      </c>
      <c r="W43" s="141"/>
    </row>
    <row r="44" spans="2:19" ht="11.25">
      <c r="B44" s="170">
        <f>200000+0</f>
        <v>200000</v>
      </c>
      <c r="C44" s="171"/>
      <c r="D44" s="172"/>
      <c r="E44" s="105" t="s">
        <v>125</v>
      </c>
      <c r="H44" s="47"/>
      <c r="I44" s="47"/>
      <c r="J44" s="106"/>
      <c r="K44" s="106"/>
      <c r="L44" s="63"/>
      <c r="M44" s="63"/>
      <c r="N44" s="63"/>
      <c r="O44" s="63"/>
      <c r="Q44" s="63"/>
      <c r="R44" s="63"/>
      <c r="S44" s="63"/>
    </row>
    <row r="45" spans="2:23" ht="11.25">
      <c r="B45" s="166">
        <v>800000</v>
      </c>
      <c r="C45" s="167"/>
      <c r="D45" s="168"/>
      <c r="E45" s="105" t="s">
        <v>112</v>
      </c>
      <c r="N45" s="63"/>
      <c r="O45" s="63"/>
      <c r="Q45" s="126" t="s">
        <v>76</v>
      </c>
      <c r="R45" s="126"/>
      <c r="S45" s="126"/>
      <c r="T45" s="126"/>
      <c r="U45" s="126"/>
      <c r="V45" s="126"/>
      <c r="W45" s="126"/>
    </row>
    <row r="46" spans="17:23" ht="11.25">
      <c r="Q46" s="6" t="s">
        <v>56</v>
      </c>
      <c r="V46" s="122">
        <f>IF($B$33,B34/$B$33,"n/a")</f>
        <v>0.37731958762886597</v>
      </c>
      <c r="W46" s="122"/>
    </row>
    <row r="47" spans="2:23" ht="11.25">
      <c r="B47" s="6" t="str">
        <f>"Average farm assets, "&amp;IF(A102=1,"market",IF(A102=2,"book","n/a"))</f>
        <v>Average farm assets, market</v>
      </c>
      <c r="I47" s="176">
        <f>N30</f>
        <v>1800000</v>
      </c>
      <c r="J47" s="176"/>
      <c r="K47" s="176"/>
      <c r="Q47" s="6" t="s">
        <v>57</v>
      </c>
      <c r="V47" s="122">
        <f>IF($B$33,B35/$B$33,"n/a")</f>
        <v>0.36237113402061855</v>
      </c>
      <c r="W47" s="122"/>
    </row>
    <row r="48" spans="2:23" ht="11.25">
      <c r="B48" s="6" t="s">
        <v>92</v>
      </c>
      <c r="H48" s="102" t="s">
        <v>96</v>
      </c>
      <c r="I48" s="128">
        <f>H18</f>
        <v>0.06777777777777777</v>
      </c>
      <c r="J48" s="129"/>
      <c r="K48" s="129"/>
      <c r="L48" s="63"/>
      <c r="M48" s="63"/>
      <c r="Q48" s="6" t="s">
        <v>58</v>
      </c>
      <c r="V48" s="122">
        <f>IF($B$33,B36/$B$33,"n/a")</f>
        <v>0.10051546391752578</v>
      </c>
      <c r="W48" s="122"/>
    </row>
    <row r="49" spans="2:23" ht="11.25">
      <c r="B49" s="6" t="s">
        <v>93</v>
      </c>
      <c r="H49" s="103" t="s">
        <v>91</v>
      </c>
      <c r="I49" s="127">
        <f>IF(AND(ISNUMBER(I47),ISNUMBER(I48)),I47*I48,"n/a")</f>
        <v>121999.99999999999</v>
      </c>
      <c r="J49" s="127"/>
      <c r="K49" s="125"/>
      <c r="L49" s="63"/>
      <c r="M49" s="63"/>
      <c r="Q49" s="6" t="s">
        <v>59</v>
      </c>
      <c r="V49" s="122">
        <f>IF($B$33,B37/$B$33,"n/a")</f>
        <v>0.15979381443298968</v>
      </c>
      <c r="W49" s="122"/>
    </row>
    <row r="50" spans="2:16" ht="11.25">
      <c r="B50" s="6" t="s">
        <v>94</v>
      </c>
      <c r="H50" s="102" t="s">
        <v>95</v>
      </c>
      <c r="I50" s="123">
        <f>B36</f>
        <v>78000</v>
      </c>
      <c r="J50" s="123"/>
      <c r="K50" s="177"/>
      <c r="L50" s="63"/>
      <c r="M50" s="63"/>
      <c r="N50" s="63"/>
      <c r="O50" s="63"/>
      <c r="P50" s="63"/>
    </row>
    <row r="51" spans="2:13" ht="12" customHeight="1">
      <c r="B51" s="6" t="s">
        <v>107</v>
      </c>
      <c r="H51" s="103" t="s">
        <v>91</v>
      </c>
      <c r="I51" s="124">
        <f>IF(AND(ISNUMBER(I49),ISNUMBER(I50)),I49-I50,"n/a")</f>
        <v>43999.999999999985</v>
      </c>
      <c r="J51" s="124"/>
      <c r="K51" s="125"/>
      <c r="L51" s="63"/>
      <c r="M51" s="63"/>
    </row>
    <row r="52" spans="14:23" ht="11.25">
      <c r="N52" s="173" t="s">
        <v>105</v>
      </c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ht="12" customHeight="1">
      <c r="B53" s="6" t="str">
        <f>"Average farm equity, "&amp;IF(A102=1,"market",IF(A102=2,"book","n/a"))</f>
        <v>Average farm equity, market</v>
      </c>
      <c r="I53" s="176">
        <f>Q24</f>
        <v>800000</v>
      </c>
      <c r="J53" s="176"/>
      <c r="K53" s="176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ht="12" customHeight="1">
      <c r="B54" s="6" t="s">
        <v>97</v>
      </c>
      <c r="H54" s="102" t="s">
        <v>96</v>
      </c>
      <c r="I54" s="128">
        <f>K6</f>
        <v>0.05499999999999998</v>
      </c>
      <c r="J54" s="129"/>
      <c r="K54" s="129"/>
      <c r="N54" s="174" t="s">
        <v>127</v>
      </c>
      <c r="O54" s="174"/>
      <c r="P54" s="174"/>
      <c r="Q54" s="174"/>
      <c r="R54" s="174"/>
      <c r="S54" s="174"/>
      <c r="T54" s="174"/>
      <c r="U54" s="174"/>
      <c r="V54" s="174"/>
      <c r="W54" s="174"/>
    </row>
    <row r="55" spans="2:23" ht="12" customHeight="1">
      <c r="B55" s="6" t="s">
        <v>107</v>
      </c>
      <c r="H55" s="103" t="s">
        <v>91</v>
      </c>
      <c r="I55" s="127">
        <f>IF(AND(ISNUMBER(I53),ISNUMBER(I54)),I53*I54,"n/a")</f>
        <v>43999.999999999985</v>
      </c>
      <c r="J55" s="127"/>
      <c r="K55" s="125"/>
      <c r="N55" s="173" t="s">
        <v>126</v>
      </c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ht="11.25">
      <c r="B56" s="6" t="s">
        <v>37</v>
      </c>
      <c r="H56" s="102" t="s">
        <v>106</v>
      </c>
      <c r="I56" s="123">
        <f>B38</f>
        <v>80000</v>
      </c>
      <c r="J56" s="123"/>
      <c r="K56" s="12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ht="11.25">
      <c r="B57" s="6" t="s">
        <v>123</v>
      </c>
      <c r="H57" s="103" t="s">
        <v>91</v>
      </c>
      <c r="I57" s="124">
        <f>IF(AND(ISNUMBER(I55),ISNUMBER(I56)),I55+I56,"n/a")</f>
        <v>123999.99999999999</v>
      </c>
      <c r="J57" s="124"/>
      <c r="K57" s="125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>
      <c r="A102" s="112">
        <v>1</v>
      </c>
    </row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</sheetData>
  <sheetProtection/>
  <mergeCells count="76">
    <mergeCell ref="I55:K55"/>
    <mergeCell ref="N55:W57"/>
    <mergeCell ref="I56:K56"/>
    <mergeCell ref="I57:K57"/>
    <mergeCell ref="I50:K50"/>
    <mergeCell ref="I51:K51"/>
    <mergeCell ref="N52:W53"/>
    <mergeCell ref="I53:K53"/>
    <mergeCell ref="I54:K54"/>
    <mergeCell ref="N54:W54"/>
    <mergeCell ref="V46:W46"/>
    <mergeCell ref="I47:K47"/>
    <mergeCell ref="V47:W47"/>
    <mergeCell ref="I48:K48"/>
    <mergeCell ref="V48:W48"/>
    <mergeCell ref="I49:K49"/>
    <mergeCell ref="V49:W49"/>
    <mergeCell ref="B42:D42"/>
    <mergeCell ref="V42:W42"/>
    <mergeCell ref="B43:D43"/>
    <mergeCell ref="V43:W43"/>
    <mergeCell ref="B44:D44"/>
    <mergeCell ref="B45:D45"/>
    <mergeCell ref="Q45:W45"/>
    <mergeCell ref="B38:D38"/>
    <mergeCell ref="V38:W38"/>
    <mergeCell ref="B39:D39"/>
    <mergeCell ref="V39:W39"/>
    <mergeCell ref="V40:W40"/>
    <mergeCell ref="B41:D41"/>
    <mergeCell ref="V41:W41"/>
    <mergeCell ref="B34:D34"/>
    <mergeCell ref="V34:W34"/>
    <mergeCell ref="B35:D35"/>
    <mergeCell ref="U35:W35"/>
    <mergeCell ref="B36:D36"/>
    <mergeCell ref="B37:D37"/>
    <mergeCell ref="Q37:W37"/>
    <mergeCell ref="B30:E30"/>
    <mergeCell ref="H30:K30"/>
    <mergeCell ref="N30:Q30"/>
    <mergeCell ref="T30:W30"/>
    <mergeCell ref="B33:D33"/>
    <mergeCell ref="Q33:W33"/>
    <mergeCell ref="E24:H24"/>
    <mergeCell ref="K24:N24"/>
    <mergeCell ref="Q24:T24"/>
    <mergeCell ref="B27:E29"/>
    <mergeCell ref="H27:K29"/>
    <mergeCell ref="N27:Q29"/>
    <mergeCell ref="T27:W29"/>
    <mergeCell ref="F28:G29"/>
    <mergeCell ref="L28:M29"/>
    <mergeCell ref="R28:S29"/>
    <mergeCell ref="H18:K18"/>
    <mergeCell ref="N18:Q18"/>
    <mergeCell ref="T18:W18"/>
    <mergeCell ref="E21:H23"/>
    <mergeCell ref="K21:N23"/>
    <mergeCell ref="Q21:T23"/>
    <mergeCell ref="I22:J23"/>
    <mergeCell ref="U22:V23"/>
    <mergeCell ref="E12:H12"/>
    <mergeCell ref="K12:N12"/>
    <mergeCell ref="Q12:T12"/>
    <mergeCell ref="H15:K17"/>
    <mergeCell ref="N15:Q17"/>
    <mergeCell ref="T15:W17"/>
    <mergeCell ref="L16:M17"/>
    <mergeCell ref="K3:N5"/>
    <mergeCell ref="K6:N6"/>
    <mergeCell ref="E9:H11"/>
    <mergeCell ref="K9:N11"/>
    <mergeCell ref="Q9:T11"/>
    <mergeCell ref="I10:J11"/>
    <mergeCell ref="O10:P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="150" zoomScaleNormal="150" zoomScalePageLayoutView="0" workbookViewId="0" topLeftCell="A3">
      <selection activeCell="B39" sqref="B39:D39"/>
    </sheetView>
  </sheetViews>
  <sheetFormatPr defaultColWidth="0" defaultRowHeight="12" customHeight="1" zeroHeight="1"/>
  <cols>
    <col min="1" max="1" width="0.42578125" style="6" customWidth="1"/>
    <col min="2" max="23" width="4.7109375" style="6" customWidth="1"/>
    <col min="24" max="24" width="0.42578125" style="6" customWidth="1"/>
    <col min="25" max="16384" width="5.28125" style="6" hidden="1" customWidth="1"/>
  </cols>
  <sheetData>
    <row r="1" spans="2:23" s="1" customFormat="1" ht="12.75">
      <c r="B1" s="2" t="str">
        <f>"BASE CASE - Simple DU PONT FINANCIAL ANALYSIS MODEL: "&amp;IF(A102=1,"MARKET",IF(A102=2,"BOOK",NA()))&amp;" BASIS"</f>
        <v>BASE CASE - Simple DU PONT FINANCIAL ANALYSIS MODEL: MARKET BASIS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</row>
    <row r="3" spans="2:23" ht="12">
      <c r="B3" s="7"/>
      <c r="C3" s="7"/>
      <c r="D3" s="8"/>
      <c r="E3" s="7"/>
      <c r="F3" s="7"/>
      <c r="G3" s="7"/>
      <c r="H3" s="7"/>
      <c r="I3" s="7"/>
      <c r="J3" s="7"/>
      <c r="K3" s="132" t="s">
        <v>90</v>
      </c>
      <c r="L3" s="133"/>
      <c r="M3" s="133"/>
      <c r="N3" s="134"/>
      <c r="O3" s="8"/>
      <c r="P3" s="8"/>
      <c r="Q3" s="8"/>
      <c r="R3" s="8"/>
      <c r="S3" s="8"/>
      <c r="T3" s="7"/>
      <c r="U3" s="9"/>
      <c r="V3" s="7"/>
      <c r="W3" s="7"/>
    </row>
    <row r="4" spans="2:23" ht="12">
      <c r="B4" s="7"/>
      <c r="C4" s="7"/>
      <c r="D4" s="8"/>
      <c r="E4" s="7"/>
      <c r="F4" s="7"/>
      <c r="G4" s="7"/>
      <c r="H4" s="7"/>
      <c r="I4" s="7"/>
      <c r="J4" s="7"/>
      <c r="K4" s="135"/>
      <c r="L4" s="136"/>
      <c r="M4" s="136"/>
      <c r="N4" s="137"/>
      <c r="O4" s="8"/>
      <c r="P4" s="8"/>
      <c r="Q4" s="8"/>
      <c r="R4" s="8"/>
      <c r="S4" s="8"/>
      <c r="T4" s="7"/>
      <c r="U4" s="9"/>
      <c r="V4" s="8"/>
      <c r="W4" s="8"/>
    </row>
    <row r="5" spans="2:23" ht="12">
      <c r="B5" s="7"/>
      <c r="C5" s="7"/>
      <c r="D5" s="8"/>
      <c r="E5" s="7"/>
      <c r="F5" s="7"/>
      <c r="G5" s="7"/>
      <c r="H5" s="7"/>
      <c r="I5" s="7"/>
      <c r="J5" s="7"/>
      <c r="K5" s="135"/>
      <c r="L5" s="136"/>
      <c r="M5" s="136"/>
      <c r="N5" s="137"/>
      <c r="O5" s="8"/>
      <c r="P5" s="8"/>
      <c r="Q5" s="8"/>
      <c r="R5" s="8"/>
      <c r="S5" s="8"/>
      <c r="T5" s="7"/>
      <c r="U5" s="9"/>
      <c r="V5" s="8"/>
      <c r="W5" s="8"/>
    </row>
    <row r="6" spans="2:23" ht="12">
      <c r="B6" s="7"/>
      <c r="C6" s="7"/>
      <c r="D6" s="8"/>
      <c r="E6" s="7"/>
      <c r="F6" s="7"/>
      <c r="G6" s="7"/>
      <c r="H6" s="7"/>
      <c r="I6" s="7"/>
      <c r="J6" s="10"/>
      <c r="K6" s="162">
        <f>IF(AND(ISNUMBER(E12),ISNUMBER(K12),ISNUMBER(Q12)),E12+(K12*Q12),"n/a")</f>
        <v>0.055639999999999995</v>
      </c>
      <c r="L6" s="163"/>
      <c r="M6" s="163"/>
      <c r="N6" s="164"/>
      <c r="O6" s="8"/>
      <c r="P6" s="8"/>
      <c r="Q6" s="8"/>
      <c r="R6" s="8"/>
      <c r="S6" s="8"/>
      <c r="T6" s="7"/>
      <c r="U6" s="9"/>
      <c r="V6" s="8"/>
      <c r="W6" s="8"/>
    </row>
    <row r="7" spans="2:23" ht="11.25">
      <c r="B7" s="7"/>
      <c r="C7" s="7"/>
      <c r="D7" s="8"/>
      <c r="E7" s="7"/>
      <c r="F7" s="7"/>
      <c r="G7" s="7"/>
      <c r="H7" s="7"/>
      <c r="I7" s="7"/>
      <c r="J7" s="10"/>
      <c r="K7" s="8"/>
      <c r="L7" s="11"/>
      <c r="M7" s="9"/>
      <c r="N7" s="8"/>
      <c r="O7" s="8"/>
      <c r="P7" s="8"/>
      <c r="Q7" s="8"/>
      <c r="R7" s="8"/>
      <c r="S7" s="8"/>
      <c r="T7" s="7"/>
      <c r="U7" s="9"/>
      <c r="V7" s="8"/>
      <c r="W7" s="8"/>
    </row>
    <row r="8" spans="2:23" ht="11.25">
      <c r="B8" s="7"/>
      <c r="C8" s="7"/>
      <c r="D8" s="8"/>
      <c r="E8" s="7"/>
      <c r="F8" s="7"/>
      <c r="G8" s="12"/>
      <c r="H8" s="13"/>
      <c r="I8" s="13"/>
      <c r="J8" s="14"/>
      <c r="K8" s="15"/>
      <c r="L8" s="15"/>
      <c r="M8" s="16"/>
      <c r="N8" s="15"/>
      <c r="O8" s="15"/>
      <c r="P8" s="15"/>
      <c r="Q8" s="15"/>
      <c r="R8" s="13"/>
      <c r="S8" s="17"/>
      <c r="T8" s="9"/>
      <c r="U8" s="8"/>
      <c r="V8" s="8"/>
      <c r="W8" s="8"/>
    </row>
    <row r="9" spans="2:23" ht="11.25">
      <c r="B9" s="7"/>
      <c r="C9" s="7"/>
      <c r="D9" s="8"/>
      <c r="E9" s="144" t="str">
        <f>H15</f>
        <v>Return on average farm assets (ROA)</v>
      </c>
      <c r="F9" s="152"/>
      <c r="G9" s="152"/>
      <c r="H9" s="153"/>
      <c r="I9" s="8"/>
      <c r="J9" s="8"/>
      <c r="K9" s="132" t="s">
        <v>65</v>
      </c>
      <c r="L9" s="133"/>
      <c r="M9" s="133"/>
      <c r="N9" s="134"/>
      <c r="O9" s="8"/>
      <c r="P9" s="8"/>
      <c r="Q9" s="144" t="str">
        <f>T15</f>
        <v>Average debt/equity ratio</v>
      </c>
      <c r="R9" s="152"/>
      <c r="S9" s="152"/>
      <c r="T9" s="153"/>
      <c r="U9" s="8"/>
      <c r="V9" s="8"/>
      <c r="W9" s="8"/>
    </row>
    <row r="10" spans="2:23" ht="11.25">
      <c r="B10" s="7"/>
      <c r="C10" s="7"/>
      <c r="D10" s="8"/>
      <c r="E10" s="154"/>
      <c r="F10" s="143"/>
      <c r="G10" s="143"/>
      <c r="H10" s="155"/>
      <c r="I10" s="143" t="s">
        <v>3</v>
      </c>
      <c r="J10" s="131"/>
      <c r="K10" s="135"/>
      <c r="L10" s="136"/>
      <c r="M10" s="136"/>
      <c r="N10" s="137"/>
      <c r="O10" s="138" t="s">
        <v>0</v>
      </c>
      <c r="P10" s="139"/>
      <c r="Q10" s="154"/>
      <c r="R10" s="143"/>
      <c r="S10" s="143"/>
      <c r="T10" s="155"/>
      <c r="U10" s="8"/>
      <c r="V10" s="19"/>
      <c r="W10" s="8"/>
    </row>
    <row r="11" spans="2:23" ht="11.25">
      <c r="B11" s="7"/>
      <c r="C11" s="7"/>
      <c r="D11" s="8"/>
      <c r="E11" s="154"/>
      <c r="F11" s="143"/>
      <c r="G11" s="143"/>
      <c r="H11" s="155"/>
      <c r="I11" s="143"/>
      <c r="J11" s="131"/>
      <c r="K11" s="135"/>
      <c r="L11" s="136"/>
      <c r="M11" s="136"/>
      <c r="N11" s="137"/>
      <c r="O11" s="138"/>
      <c r="P11" s="139"/>
      <c r="Q11" s="154"/>
      <c r="R11" s="143"/>
      <c r="S11" s="143"/>
      <c r="T11" s="155"/>
      <c r="U11" s="20"/>
      <c r="V11" s="19"/>
      <c r="W11" s="8"/>
    </row>
    <row r="12" spans="2:23" ht="11.25">
      <c r="B12" s="7"/>
      <c r="C12" s="7"/>
      <c r="D12" s="8"/>
      <c r="E12" s="149">
        <f>H18</f>
        <v>0.06808333333333333</v>
      </c>
      <c r="F12" s="150"/>
      <c r="G12" s="150"/>
      <c r="H12" s="151"/>
      <c r="I12" s="8"/>
      <c r="J12" s="8"/>
      <c r="K12" s="162">
        <f>IF(AND(ISNUMBER(H18),ISNUMBER(N18)),H18-N18,"n/a")</f>
        <v>-0.009954666666666667</v>
      </c>
      <c r="L12" s="163"/>
      <c r="M12" s="163"/>
      <c r="N12" s="164"/>
      <c r="O12" s="8"/>
      <c r="P12" s="8"/>
      <c r="Q12" s="156">
        <f>T18</f>
        <v>1.25</v>
      </c>
      <c r="R12" s="157"/>
      <c r="S12" s="157"/>
      <c r="T12" s="158"/>
      <c r="U12" s="21"/>
      <c r="V12" s="8"/>
      <c r="W12" s="8"/>
    </row>
    <row r="13" spans="2:23" ht="11.25">
      <c r="B13" s="7"/>
      <c r="C13" s="7"/>
      <c r="D13" s="7"/>
      <c r="E13" s="7"/>
      <c r="F13" s="7"/>
      <c r="G13" s="22"/>
      <c r="H13" s="8"/>
      <c r="I13" s="8"/>
      <c r="J13" s="8"/>
      <c r="K13" s="8"/>
      <c r="L13" s="8"/>
      <c r="M13" s="23"/>
      <c r="N13" s="8"/>
      <c r="O13" s="8"/>
      <c r="P13" s="8"/>
      <c r="Q13" s="8"/>
      <c r="R13" s="8"/>
      <c r="S13" s="8"/>
      <c r="T13" s="8"/>
      <c r="U13" s="21"/>
      <c r="V13" s="8"/>
      <c r="W13" s="8"/>
    </row>
    <row r="14" spans="2:23" ht="11.25">
      <c r="B14" s="7"/>
      <c r="C14" s="7"/>
      <c r="D14" s="7"/>
      <c r="E14" s="7"/>
      <c r="F14" s="7"/>
      <c r="G14" s="22"/>
      <c r="H14" s="7"/>
      <c r="I14" s="7"/>
      <c r="J14" s="24"/>
      <c r="K14" s="13"/>
      <c r="L14" s="13"/>
      <c r="M14" s="7"/>
      <c r="N14" s="13"/>
      <c r="O14" s="13"/>
      <c r="P14" s="25"/>
      <c r="Q14" s="7"/>
      <c r="R14" s="8"/>
      <c r="S14" s="8"/>
      <c r="T14" s="7"/>
      <c r="U14" s="26"/>
      <c r="V14" s="8"/>
      <c r="W14" s="8"/>
    </row>
    <row r="15" spans="2:23" ht="11.25">
      <c r="B15" s="8"/>
      <c r="C15" s="8"/>
      <c r="D15" s="8"/>
      <c r="E15" s="8"/>
      <c r="F15" s="8"/>
      <c r="G15" s="27"/>
      <c r="H15" s="132" t="s">
        <v>62</v>
      </c>
      <c r="I15" s="133"/>
      <c r="J15" s="133"/>
      <c r="K15" s="134"/>
      <c r="L15" s="9"/>
      <c r="M15" s="8"/>
      <c r="N15" s="144" t="s">
        <v>64</v>
      </c>
      <c r="O15" s="145"/>
      <c r="P15" s="145"/>
      <c r="Q15" s="146"/>
      <c r="R15" s="8"/>
      <c r="S15" s="8"/>
      <c r="T15" s="132" t="s">
        <v>54</v>
      </c>
      <c r="U15" s="133"/>
      <c r="V15" s="133"/>
      <c r="W15" s="134"/>
    </row>
    <row r="16" spans="2:23" ht="11.25">
      <c r="B16" s="7"/>
      <c r="C16" s="7"/>
      <c r="D16" s="8"/>
      <c r="E16" s="8"/>
      <c r="F16" s="8"/>
      <c r="G16" s="28"/>
      <c r="H16" s="135"/>
      <c r="I16" s="136"/>
      <c r="J16" s="136"/>
      <c r="K16" s="137"/>
      <c r="L16" s="130" t="s">
        <v>52</v>
      </c>
      <c r="M16" s="143"/>
      <c r="N16" s="147"/>
      <c r="O16" s="136"/>
      <c r="P16" s="136"/>
      <c r="Q16" s="148"/>
      <c r="R16" s="8"/>
      <c r="S16" s="8"/>
      <c r="T16" s="135"/>
      <c r="U16" s="136"/>
      <c r="V16" s="136"/>
      <c r="W16" s="137"/>
    </row>
    <row r="17" spans="2:23" ht="11.25">
      <c r="B17" s="7"/>
      <c r="C17" s="7"/>
      <c r="D17" s="8"/>
      <c r="E17" s="8"/>
      <c r="F17" s="8"/>
      <c r="G17" s="8"/>
      <c r="H17" s="135"/>
      <c r="I17" s="136"/>
      <c r="J17" s="136"/>
      <c r="K17" s="137"/>
      <c r="L17" s="130"/>
      <c r="M17" s="143"/>
      <c r="N17" s="147"/>
      <c r="O17" s="136"/>
      <c r="P17" s="136"/>
      <c r="Q17" s="148"/>
      <c r="R17" s="8"/>
      <c r="S17" s="8"/>
      <c r="T17" s="135"/>
      <c r="U17" s="136"/>
      <c r="V17" s="136"/>
      <c r="W17" s="137"/>
    </row>
    <row r="18" spans="2:23" ht="11.25">
      <c r="B18" s="8"/>
      <c r="C18" s="8"/>
      <c r="D18" s="8"/>
      <c r="E18" s="8"/>
      <c r="F18" s="8"/>
      <c r="G18" s="8"/>
      <c r="H18" s="162">
        <f>IF(AND(ISNUMBER(E24),ISNUMBER(K24)),E24*K24,"n/a")</f>
        <v>0.06808333333333333</v>
      </c>
      <c r="I18" s="163"/>
      <c r="J18" s="163"/>
      <c r="K18" s="164"/>
      <c r="L18" s="9"/>
      <c r="M18" s="8"/>
      <c r="N18" s="149">
        <f>IF(T30,B36/T30,"n/a")</f>
        <v>0.078038</v>
      </c>
      <c r="O18" s="150"/>
      <c r="P18" s="150"/>
      <c r="Q18" s="151"/>
      <c r="R18" s="8"/>
      <c r="S18" s="8"/>
      <c r="T18" s="159">
        <f>IF(Q24,T30/Q24,"n/a")</f>
        <v>1.25</v>
      </c>
      <c r="U18" s="160"/>
      <c r="V18" s="160"/>
      <c r="W18" s="161"/>
    </row>
    <row r="19" spans="2:23" ht="11.25">
      <c r="B19" s="7"/>
      <c r="C19" s="7"/>
      <c r="D19" s="7"/>
      <c r="E19" s="7"/>
      <c r="F19" s="7"/>
      <c r="G19" s="18"/>
      <c r="H19" s="29"/>
      <c r="I19" s="29"/>
      <c r="J19" s="24"/>
      <c r="K19" s="29"/>
      <c r="L19" s="29"/>
      <c r="M19" s="7"/>
      <c r="N19" s="7"/>
      <c r="O19" s="7"/>
      <c r="P19" s="7"/>
      <c r="Q19" s="9"/>
      <c r="R19" s="7"/>
      <c r="S19" s="7"/>
      <c r="T19" s="7"/>
      <c r="U19" s="11"/>
      <c r="V19" s="19"/>
      <c r="W19" s="8"/>
    </row>
    <row r="20" spans="2:23" ht="11.25">
      <c r="B20" s="8"/>
      <c r="C20" s="8"/>
      <c r="D20" s="8"/>
      <c r="E20" s="7"/>
      <c r="F20" s="7"/>
      <c r="G20" s="24"/>
      <c r="H20" s="30"/>
      <c r="I20" s="7"/>
      <c r="J20" s="7"/>
      <c r="K20" s="7"/>
      <c r="L20" s="31"/>
      <c r="M20" s="29"/>
      <c r="N20" s="7"/>
      <c r="O20" s="7"/>
      <c r="P20" s="7"/>
      <c r="Q20" s="8"/>
      <c r="R20" s="8"/>
      <c r="S20" s="24"/>
      <c r="T20" s="15"/>
      <c r="U20" s="32"/>
      <c r="V20" s="19"/>
      <c r="W20" s="8"/>
    </row>
    <row r="21" spans="2:23" ht="11.25">
      <c r="B21" s="8"/>
      <c r="C21" s="8"/>
      <c r="D21" s="8"/>
      <c r="E21" s="132" t="s">
        <v>53</v>
      </c>
      <c r="F21" s="133"/>
      <c r="G21" s="133"/>
      <c r="H21" s="134"/>
      <c r="I21" s="8"/>
      <c r="J21" s="7"/>
      <c r="K21" s="132" t="s">
        <v>63</v>
      </c>
      <c r="L21" s="133"/>
      <c r="M21" s="133"/>
      <c r="N21" s="134"/>
      <c r="O21" s="9"/>
      <c r="P21" s="9"/>
      <c r="Q21" s="132" t="str">
        <f>"Average farm
equity, "&amp;IF(A102=1,"market",IF(A102=2,"book","n/a"))</f>
        <v>Average farm
equity, market</v>
      </c>
      <c r="R21" s="133"/>
      <c r="S21" s="133"/>
      <c r="T21" s="134"/>
      <c r="U21" s="33"/>
      <c r="V21" s="8"/>
      <c r="W21" s="8"/>
    </row>
    <row r="22" spans="2:23" ht="11.25">
      <c r="B22" s="8"/>
      <c r="C22" s="8"/>
      <c r="D22" s="8"/>
      <c r="E22" s="135"/>
      <c r="F22" s="136"/>
      <c r="G22" s="136"/>
      <c r="H22" s="137"/>
      <c r="I22" s="138" t="s">
        <v>0</v>
      </c>
      <c r="J22" s="139"/>
      <c r="K22" s="135"/>
      <c r="L22" s="136"/>
      <c r="M22" s="136"/>
      <c r="N22" s="137"/>
      <c r="O22" s="9"/>
      <c r="P22" s="7"/>
      <c r="Q22" s="135"/>
      <c r="R22" s="136"/>
      <c r="S22" s="136"/>
      <c r="T22" s="137"/>
      <c r="U22" s="138" t="s">
        <v>1</v>
      </c>
      <c r="V22" s="140"/>
      <c r="W22" s="8"/>
    </row>
    <row r="23" spans="2:23" ht="11.25">
      <c r="B23" s="8"/>
      <c r="C23" s="8"/>
      <c r="D23" s="8"/>
      <c r="E23" s="135"/>
      <c r="F23" s="136"/>
      <c r="G23" s="136"/>
      <c r="H23" s="137"/>
      <c r="I23" s="138"/>
      <c r="J23" s="139"/>
      <c r="K23" s="135"/>
      <c r="L23" s="136"/>
      <c r="M23" s="136"/>
      <c r="N23" s="137"/>
      <c r="O23" s="9"/>
      <c r="P23" s="7"/>
      <c r="Q23" s="135"/>
      <c r="R23" s="136"/>
      <c r="S23" s="136"/>
      <c r="T23" s="137"/>
      <c r="U23" s="138"/>
      <c r="V23" s="140"/>
      <c r="W23" s="8"/>
    </row>
    <row r="24" spans="2:23" ht="11.25">
      <c r="B24" s="8"/>
      <c r="C24" s="8"/>
      <c r="D24" s="8"/>
      <c r="E24" s="162">
        <f>IF(H30,B30/H30,"n/a")</f>
        <v>0.15771185895373527</v>
      </c>
      <c r="F24" s="163"/>
      <c r="G24" s="163"/>
      <c r="H24" s="164"/>
      <c r="I24" s="8"/>
      <c r="J24" s="7"/>
      <c r="K24" s="162">
        <f>IF(N30,H30/N30,"n/a")</f>
        <v>0.43169444444444444</v>
      </c>
      <c r="L24" s="163"/>
      <c r="M24" s="163"/>
      <c r="N24" s="164"/>
      <c r="O24" s="9"/>
      <c r="P24" s="9"/>
      <c r="Q24" s="119">
        <f>N30-T30</f>
        <v>800000</v>
      </c>
      <c r="R24" s="120"/>
      <c r="S24" s="120"/>
      <c r="T24" s="121"/>
      <c r="U24" s="33"/>
      <c r="V24" s="8"/>
      <c r="W24" s="8"/>
    </row>
    <row r="25" spans="2:23" ht="11.25">
      <c r="B25" s="8"/>
      <c r="C25" s="8"/>
      <c r="D25" s="8"/>
      <c r="E25" s="8"/>
      <c r="F25" s="34"/>
      <c r="G25" s="24"/>
      <c r="H25" s="30"/>
      <c r="I25" s="29"/>
      <c r="J25" s="29"/>
      <c r="K25" s="29"/>
      <c r="L25" s="29"/>
      <c r="M25" s="24"/>
      <c r="N25" s="35"/>
      <c r="O25" s="29"/>
      <c r="P25" s="7"/>
      <c r="Q25" s="8"/>
      <c r="R25" s="11"/>
      <c r="S25" s="8"/>
      <c r="T25" s="8"/>
      <c r="U25" s="36"/>
      <c r="V25" s="19"/>
      <c r="W25" s="19"/>
    </row>
    <row r="26" spans="2:23" ht="11.25">
      <c r="B26" s="34"/>
      <c r="C26" s="37"/>
      <c r="D26" s="35"/>
      <c r="E26" s="38"/>
      <c r="F26" s="8"/>
      <c r="G26" s="7"/>
      <c r="H26" s="7"/>
      <c r="I26" s="7"/>
      <c r="J26" s="24"/>
      <c r="K26" s="35"/>
      <c r="L26" s="7"/>
      <c r="M26" s="7"/>
      <c r="N26" s="35"/>
      <c r="O26" s="31"/>
      <c r="P26" s="13"/>
      <c r="Q26" s="13"/>
      <c r="R26" s="13"/>
      <c r="S26" s="15"/>
      <c r="T26" s="15"/>
      <c r="U26" s="11"/>
      <c r="V26" s="39"/>
      <c r="W26" s="19"/>
    </row>
    <row r="27" spans="2:23" ht="12" customHeight="1">
      <c r="B27" s="132" t="s">
        <v>122</v>
      </c>
      <c r="C27" s="133"/>
      <c r="D27" s="133"/>
      <c r="E27" s="134"/>
      <c r="F27" s="8"/>
      <c r="G27" s="7"/>
      <c r="H27" s="132" t="s">
        <v>61</v>
      </c>
      <c r="I27" s="133"/>
      <c r="J27" s="133"/>
      <c r="K27" s="134"/>
      <c r="L27" s="8"/>
      <c r="M27" s="9"/>
      <c r="N27" s="132" t="str">
        <f>"Average farm
assets, "&amp;IF(A102=1,"market",IF(A102=2,"book","n/a"))</f>
        <v>Average farm
assets, market</v>
      </c>
      <c r="O27" s="133"/>
      <c r="P27" s="133"/>
      <c r="Q27" s="134"/>
      <c r="R27" s="9"/>
      <c r="S27" s="8"/>
      <c r="T27" s="132" t="s">
        <v>74</v>
      </c>
      <c r="U27" s="133"/>
      <c r="V27" s="133"/>
      <c r="W27" s="134"/>
    </row>
    <row r="28" spans="2:23" ht="12" customHeight="1">
      <c r="B28" s="135"/>
      <c r="C28" s="136"/>
      <c r="D28" s="136"/>
      <c r="E28" s="137"/>
      <c r="F28" s="143" t="s">
        <v>60</v>
      </c>
      <c r="G28" s="165"/>
      <c r="H28" s="135"/>
      <c r="I28" s="136"/>
      <c r="J28" s="136"/>
      <c r="K28" s="137"/>
      <c r="L28" s="143" t="s">
        <v>60</v>
      </c>
      <c r="M28" s="165"/>
      <c r="N28" s="135"/>
      <c r="O28" s="136"/>
      <c r="P28" s="136"/>
      <c r="Q28" s="137"/>
      <c r="R28" s="130" t="s">
        <v>55</v>
      </c>
      <c r="S28" s="131"/>
      <c r="T28" s="135"/>
      <c r="U28" s="136"/>
      <c r="V28" s="136"/>
      <c r="W28" s="137"/>
    </row>
    <row r="29" spans="2:23" ht="11.25">
      <c r="B29" s="135"/>
      <c r="C29" s="136"/>
      <c r="D29" s="136"/>
      <c r="E29" s="137"/>
      <c r="F29" s="165"/>
      <c r="G29" s="165"/>
      <c r="H29" s="135"/>
      <c r="I29" s="136"/>
      <c r="J29" s="136"/>
      <c r="K29" s="137"/>
      <c r="L29" s="165"/>
      <c r="M29" s="165"/>
      <c r="N29" s="135"/>
      <c r="O29" s="136"/>
      <c r="P29" s="136"/>
      <c r="Q29" s="137"/>
      <c r="R29" s="130"/>
      <c r="S29" s="131"/>
      <c r="T29" s="135"/>
      <c r="U29" s="136"/>
      <c r="V29" s="136"/>
      <c r="W29" s="137"/>
    </row>
    <row r="30" spans="2:23" ht="11.25">
      <c r="B30" s="119">
        <f>B37+B36-B38</f>
        <v>122550</v>
      </c>
      <c r="C30" s="120"/>
      <c r="D30" s="120"/>
      <c r="E30" s="121"/>
      <c r="F30" s="8"/>
      <c r="G30" s="7"/>
      <c r="H30" s="119">
        <f>B33</f>
        <v>777050</v>
      </c>
      <c r="I30" s="120"/>
      <c r="J30" s="120"/>
      <c r="K30" s="121"/>
      <c r="L30" s="8"/>
      <c r="M30" s="9"/>
      <c r="N30" s="119">
        <f>IF(A102=1,B41+B42,IF(A102=2,B41+B43,"n/a"))</f>
        <v>1800000</v>
      </c>
      <c r="O30" s="120"/>
      <c r="P30" s="120"/>
      <c r="Q30" s="121"/>
      <c r="R30" s="9"/>
      <c r="S30" s="8"/>
      <c r="T30" s="119">
        <f>B44+B45</f>
        <v>1000000</v>
      </c>
      <c r="U30" s="120"/>
      <c r="V30" s="120"/>
      <c r="W30" s="121"/>
    </row>
    <row r="31" spans="2:23" ht="6" customHeight="1" thickBot="1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2:23" ht="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2:23" ht="12" customHeight="1">
      <c r="B33" s="166">
        <f>776000+1050</f>
        <v>777050</v>
      </c>
      <c r="C33" s="167"/>
      <c r="D33" s="168"/>
      <c r="E33" s="105" t="s">
        <v>72</v>
      </c>
      <c r="G33" s="47"/>
      <c r="H33" s="47"/>
      <c r="I33" s="47"/>
      <c r="J33" s="106"/>
      <c r="K33" s="106"/>
      <c r="Q33" s="126" t="s">
        <v>113</v>
      </c>
      <c r="R33" s="126"/>
      <c r="S33" s="126"/>
      <c r="T33" s="126"/>
      <c r="U33" s="126"/>
      <c r="V33" s="126"/>
      <c r="W33" s="126"/>
    </row>
    <row r="34" spans="2:23" ht="11.25">
      <c r="B34" s="166">
        <f>292800+400</f>
        <v>293200</v>
      </c>
      <c r="C34" s="167"/>
      <c r="D34" s="168"/>
      <c r="E34" s="118" t="s">
        <v>128</v>
      </c>
      <c r="G34" s="47"/>
      <c r="H34" s="47"/>
      <c r="I34" s="47"/>
      <c r="J34" s="106"/>
      <c r="K34" s="106"/>
      <c r="Q34" s="6" t="s">
        <v>114</v>
      </c>
      <c r="V34" s="141">
        <f>IF(B44,B41/B44,"n/a")</f>
        <v>1.5</v>
      </c>
      <c r="W34" s="141"/>
    </row>
    <row r="35" spans="2:23" ht="11.25">
      <c r="B35" s="166">
        <f>281200+100</f>
        <v>281300</v>
      </c>
      <c r="C35" s="167"/>
      <c r="D35" s="168"/>
      <c r="E35" s="118" t="s">
        <v>129</v>
      </c>
      <c r="G35" s="47"/>
      <c r="H35" s="47"/>
      <c r="I35" s="47"/>
      <c r="J35" s="47"/>
      <c r="K35" s="106"/>
      <c r="Q35" s="6" t="s">
        <v>115</v>
      </c>
      <c r="U35" s="142">
        <f>IF(B44,B41-B44,"n/a")</f>
        <v>100000</v>
      </c>
      <c r="V35" s="142"/>
      <c r="W35" s="142"/>
    </row>
    <row r="36" spans="2:11" ht="11.25">
      <c r="B36" s="166">
        <f>78000+38</f>
        <v>78038</v>
      </c>
      <c r="C36" s="167"/>
      <c r="D36" s="168"/>
      <c r="E36" s="118" t="s">
        <v>70</v>
      </c>
      <c r="G36" s="47"/>
      <c r="H36" s="47"/>
      <c r="I36" s="47"/>
      <c r="J36" s="47"/>
      <c r="K36" s="106"/>
    </row>
    <row r="37" spans="2:23" ht="11.25">
      <c r="B37" s="169">
        <f>B33-B34-B35-B36</f>
        <v>124512</v>
      </c>
      <c r="C37" s="169"/>
      <c r="D37" s="169"/>
      <c r="E37" s="107" t="s">
        <v>71</v>
      </c>
      <c r="G37" s="47"/>
      <c r="H37" s="47"/>
      <c r="I37" s="47"/>
      <c r="J37" s="47"/>
      <c r="K37" s="106"/>
      <c r="Q37" s="126" t="s">
        <v>98</v>
      </c>
      <c r="R37" s="126"/>
      <c r="S37" s="126"/>
      <c r="T37" s="126"/>
      <c r="U37" s="126"/>
      <c r="V37" s="126"/>
      <c r="W37" s="126"/>
    </row>
    <row r="38" spans="2:23" ht="11.25">
      <c r="B38" s="166">
        <v>80000</v>
      </c>
      <c r="C38" s="167"/>
      <c r="D38" s="168"/>
      <c r="E38" s="108" t="s">
        <v>108</v>
      </c>
      <c r="H38" s="109"/>
      <c r="I38" s="47"/>
      <c r="J38" s="110"/>
      <c r="K38" s="106"/>
      <c r="Q38" s="6" t="s">
        <v>99</v>
      </c>
      <c r="V38" s="122">
        <f>IF(B42,B45/B42,"n/a")</f>
        <v>0.5333333333333333</v>
      </c>
      <c r="W38" s="122"/>
    </row>
    <row r="39" spans="2:23" ht="11.25">
      <c r="B39" s="169">
        <f>B37-B38</f>
        <v>44512</v>
      </c>
      <c r="C39" s="169"/>
      <c r="D39" s="169"/>
      <c r="E39" s="107" t="s">
        <v>109</v>
      </c>
      <c r="H39" s="109"/>
      <c r="I39" s="47"/>
      <c r="J39" s="110"/>
      <c r="K39" s="106"/>
      <c r="P39" s="63"/>
      <c r="Q39" s="6" t="s">
        <v>100</v>
      </c>
      <c r="V39" s="122">
        <f>IF(B43,B45/B43,"n/a")</f>
        <v>0.6666666666666666</v>
      </c>
      <c r="W39" s="122"/>
    </row>
    <row r="40" spans="2:23" ht="11.25">
      <c r="B40" s="111"/>
      <c r="C40" s="111"/>
      <c r="D40" s="111"/>
      <c r="E40" s="107"/>
      <c r="H40" s="109"/>
      <c r="I40" s="47"/>
      <c r="J40" s="110"/>
      <c r="K40" s="106"/>
      <c r="P40" s="63"/>
      <c r="Q40" s="6" t="s">
        <v>102</v>
      </c>
      <c r="V40" s="122">
        <f>IF(B42,(B42-B45)/B42,"n/a")</f>
        <v>0.4666666666666667</v>
      </c>
      <c r="W40" s="122"/>
    </row>
    <row r="41" spans="2:23" ht="11.25">
      <c r="B41" s="170">
        <v>300000</v>
      </c>
      <c r="C41" s="171"/>
      <c r="D41" s="172"/>
      <c r="E41" s="105" t="s">
        <v>124</v>
      </c>
      <c r="H41" s="109"/>
      <c r="I41" s="47"/>
      <c r="J41" s="110"/>
      <c r="K41" s="106"/>
      <c r="P41" s="63"/>
      <c r="Q41" s="6" t="s">
        <v>101</v>
      </c>
      <c r="V41" s="122">
        <f>IF(B43,(B43-B45)/B43,"n/a")</f>
        <v>0.3333333333333333</v>
      </c>
      <c r="W41" s="122"/>
    </row>
    <row r="42" spans="2:23" ht="11.25">
      <c r="B42" s="166">
        <f>1500000+0</f>
        <v>1500000</v>
      </c>
      <c r="C42" s="167"/>
      <c r="D42" s="168"/>
      <c r="E42" s="105" t="s">
        <v>111</v>
      </c>
      <c r="H42" s="109"/>
      <c r="I42" s="47"/>
      <c r="J42" s="110"/>
      <c r="K42" s="106"/>
      <c r="P42" s="63"/>
      <c r="Q42" s="6" t="s">
        <v>103</v>
      </c>
      <c r="V42" s="175">
        <f>IF((B42-B45),B45/(B42-B45),"n/a")</f>
        <v>1.1428571428571428</v>
      </c>
      <c r="W42" s="141"/>
    </row>
    <row r="43" spans="2:23" ht="12" customHeight="1">
      <c r="B43" s="166">
        <f>1200000+0</f>
        <v>1200000</v>
      </c>
      <c r="C43" s="167"/>
      <c r="D43" s="168"/>
      <c r="E43" s="105" t="s">
        <v>110</v>
      </c>
      <c r="H43" s="47"/>
      <c r="I43" s="47"/>
      <c r="J43" s="106"/>
      <c r="K43" s="106"/>
      <c r="L43" s="63"/>
      <c r="M43" s="63"/>
      <c r="N43" s="63"/>
      <c r="O43" s="63"/>
      <c r="P43" s="63"/>
      <c r="Q43" s="6" t="s">
        <v>104</v>
      </c>
      <c r="R43" s="63"/>
      <c r="S43" s="63"/>
      <c r="V43" s="141">
        <f>IF((B43-B45),B45/(B43-B45),"n/a")</f>
        <v>2</v>
      </c>
      <c r="W43" s="141"/>
    </row>
    <row r="44" spans="2:19" ht="11.25">
      <c r="B44" s="170">
        <f>200000+0</f>
        <v>200000</v>
      </c>
      <c r="C44" s="171"/>
      <c r="D44" s="172"/>
      <c r="E44" s="105" t="s">
        <v>125</v>
      </c>
      <c r="H44" s="47"/>
      <c r="I44" s="47"/>
      <c r="J44" s="106"/>
      <c r="K44" s="106"/>
      <c r="L44" s="63"/>
      <c r="M44" s="63"/>
      <c r="N44" s="63"/>
      <c r="O44" s="63"/>
      <c r="Q44" s="63"/>
      <c r="R44" s="63"/>
      <c r="S44" s="63"/>
    </row>
    <row r="45" spans="2:23" ht="11.25">
      <c r="B45" s="166">
        <v>800000</v>
      </c>
      <c r="C45" s="167"/>
      <c r="D45" s="168"/>
      <c r="E45" s="105" t="s">
        <v>112</v>
      </c>
      <c r="N45" s="63"/>
      <c r="O45" s="63"/>
      <c r="Q45" s="126" t="s">
        <v>76</v>
      </c>
      <c r="R45" s="126"/>
      <c r="S45" s="126"/>
      <c r="T45" s="126"/>
      <c r="U45" s="126"/>
      <c r="V45" s="126"/>
      <c r="W45" s="126"/>
    </row>
    <row r="46" spans="17:23" ht="11.25">
      <c r="Q46" s="6" t="s">
        <v>56</v>
      </c>
      <c r="V46" s="122">
        <f>IF($B$33,B34/$B$33,"n/a")</f>
        <v>0.37732449649314714</v>
      </c>
      <c r="W46" s="122"/>
    </row>
    <row r="47" spans="2:23" ht="11.25">
      <c r="B47" s="6" t="str">
        <f>"Average farm assets, "&amp;IF(A102=1,"market",IF(A102=2,"book","n/a"))</f>
        <v>Average farm assets, market</v>
      </c>
      <c r="I47" s="176">
        <f>N30</f>
        <v>1800000</v>
      </c>
      <c r="J47" s="176"/>
      <c r="K47" s="176"/>
      <c r="Q47" s="6" t="s">
        <v>57</v>
      </c>
      <c r="V47" s="122">
        <f>IF($B$33,B35/$B$33,"n/a")</f>
        <v>0.3620101666559423</v>
      </c>
      <c r="W47" s="122"/>
    </row>
    <row r="48" spans="2:23" ht="11.25">
      <c r="B48" s="6" t="s">
        <v>92</v>
      </c>
      <c r="H48" s="102" t="s">
        <v>96</v>
      </c>
      <c r="I48" s="128">
        <f>H18</f>
        <v>0.06808333333333333</v>
      </c>
      <c r="J48" s="129"/>
      <c r="K48" s="129"/>
      <c r="L48" s="63"/>
      <c r="M48" s="63"/>
      <c r="Q48" s="6" t="s">
        <v>58</v>
      </c>
      <c r="V48" s="122">
        <f>IF($B$33,B36/$B$33,"n/a")</f>
        <v>0.10042854385174699</v>
      </c>
      <c r="W48" s="122"/>
    </row>
    <row r="49" spans="2:23" ht="11.25">
      <c r="B49" s="6" t="s">
        <v>93</v>
      </c>
      <c r="H49" s="103" t="s">
        <v>91</v>
      </c>
      <c r="I49" s="127">
        <f>IF(AND(ISNUMBER(I47),ISNUMBER(I48)),I47*I48,"n/a")</f>
        <v>122549.99999999999</v>
      </c>
      <c r="J49" s="127"/>
      <c r="K49" s="125"/>
      <c r="L49" s="63"/>
      <c r="M49" s="63"/>
      <c r="Q49" s="6" t="s">
        <v>59</v>
      </c>
      <c r="V49" s="122">
        <f>IF($B$33,B37/$B$33,"n/a")</f>
        <v>0.1602367929991635</v>
      </c>
      <c r="W49" s="122"/>
    </row>
    <row r="50" spans="2:16" ht="11.25">
      <c r="B50" s="6" t="s">
        <v>94</v>
      </c>
      <c r="H50" s="102" t="s">
        <v>95</v>
      </c>
      <c r="I50" s="123">
        <f>B36</f>
        <v>78038</v>
      </c>
      <c r="J50" s="123"/>
      <c r="K50" s="177"/>
      <c r="L50" s="63"/>
      <c r="M50" s="63"/>
      <c r="N50" s="63"/>
      <c r="O50" s="63"/>
      <c r="P50" s="63"/>
    </row>
    <row r="51" spans="2:13" ht="12" customHeight="1">
      <c r="B51" s="6" t="s">
        <v>107</v>
      </c>
      <c r="H51" s="103" t="s">
        <v>91</v>
      </c>
      <c r="I51" s="124">
        <f>IF(AND(ISNUMBER(I49),ISNUMBER(I50)),I49-I50,"n/a")</f>
        <v>44511.999999999985</v>
      </c>
      <c r="J51" s="124"/>
      <c r="K51" s="125"/>
      <c r="L51" s="63"/>
      <c r="M51" s="63"/>
    </row>
    <row r="52" spans="14:23" ht="11.25">
      <c r="N52" s="173" t="s">
        <v>105</v>
      </c>
      <c r="O52" s="173"/>
      <c r="P52" s="173"/>
      <c r="Q52" s="173"/>
      <c r="R52" s="173"/>
      <c r="S52" s="173"/>
      <c r="T52" s="173"/>
      <c r="U52" s="173"/>
      <c r="V52" s="173"/>
      <c r="W52" s="173"/>
    </row>
    <row r="53" spans="2:23" ht="12" customHeight="1">
      <c r="B53" s="6" t="str">
        <f>"Average farm equity, "&amp;IF(A102=1,"market",IF(A102=2,"book","n/a"))</f>
        <v>Average farm equity, market</v>
      </c>
      <c r="I53" s="176">
        <f>Q24</f>
        <v>800000</v>
      </c>
      <c r="J53" s="176"/>
      <c r="K53" s="176"/>
      <c r="N53" s="173"/>
      <c r="O53" s="173"/>
      <c r="P53" s="173"/>
      <c r="Q53" s="173"/>
      <c r="R53" s="173"/>
      <c r="S53" s="173"/>
      <c r="T53" s="173"/>
      <c r="U53" s="173"/>
      <c r="V53" s="173"/>
      <c r="W53" s="173"/>
    </row>
    <row r="54" spans="2:23" ht="12" customHeight="1">
      <c r="B54" s="6" t="s">
        <v>97</v>
      </c>
      <c r="H54" s="102" t="s">
        <v>96</v>
      </c>
      <c r="I54" s="128">
        <f>K6</f>
        <v>0.055639999999999995</v>
      </c>
      <c r="J54" s="129"/>
      <c r="K54" s="129"/>
      <c r="N54" s="174" t="s">
        <v>127</v>
      </c>
      <c r="O54" s="174"/>
      <c r="P54" s="174"/>
      <c r="Q54" s="174"/>
      <c r="R54" s="174"/>
      <c r="S54" s="174"/>
      <c r="T54" s="174"/>
      <c r="U54" s="174"/>
      <c r="V54" s="174"/>
      <c r="W54" s="174"/>
    </row>
    <row r="55" spans="2:23" ht="12" customHeight="1">
      <c r="B55" s="6" t="s">
        <v>107</v>
      </c>
      <c r="H55" s="103" t="s">
        <v>91</v>
      </c>
      <c r="I55" s="127">
        <f>IF(AND(ISNUMBER(I53),ISNUMBER(I54)),I53*I54,"n/a")</f>
        <v>44511.99999999999</v>
      </c>
      <c r="J55" s="127"/>
      <c r="K55" s="125"/>
      <c r="N55" s="173" t="s">
        <v>126</v>
      </c>
      <c r="O55" s="173"/>
      <c r="P55" s="173"/>
      <c r="Q55" s="173"/>
      <c r="R55" s="173"/>
      <c r="S55" s="173"/>
      <c r="T55" s="173"/>
      <c r="U55" s="173"/>
      <c r="V55" s="173"/>
      <c r="W55" s="173"/>
    </row>
    <row r="56" spans="2:23" ht="11.25">
      <c r="B56" s="6" t="s">
        <v>37</v>
      </c>
      <c r="H56" s="102" t="s">
        <v>106</v>
      </c>
      <c r="I56" s="123">
        <f>B38</f>
        <v>80000</v>
      </c>
      <c r="J56" s="123"/>
      <c r="K56" s="12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2:23" ht="11.25">
      <c r="B57" s="6" t="s">
        <v>123</v>
      </c>
      <c r="H57" s="103" t="s">
        <v>91</v>
      </c>
      <c r="I57" s="124">
        <f>IF(AND(ISNUMBER(I55),ISNUMBER(I56)),I55+I56,"n/a")</f>
        <v>124512</v>
      </c>
      <c r="J57" s="124"/>
      <c r="K57" s="125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>
      <c r="A102" s="112">
        <v>1</v>
      </c>
    </row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</sheetData>
  <sheetProtection/>
  <mergeCells count="76">
    <mergeCell ref="I55:K55"/>
    <mergeCell ref="N55:W57"/>
    <mergeCell ref="I56:K56"/>
    <mergeCell ref="I57:K57"/>
    <mergeCell ref="I50:K50"/>
    <mergeCell ref="I51:K51"/>
    <mergeCell ref="N52:W53"/>
    <mergeCell ref="I53:K53"/>
    <mergeCell ref="I54:K54"/>
    <mergeCell ref="N54:W54"/>
    <mergeCell ref="V46:W46"/>
    <mergeCell ref="I47:K47"/>
    <mergeCell ref="V47:W47"/>
    <mergeCell ref="I48:K48"/>
    <mergeCell ref="V48:W48"/>
    <mergeCell ref="I49:K49"/>
    <mergeCell ref="V49:W49"/>
    <mergeCell ref="B42:D42"/>
    <mergeCell ref="V42:W42"/>
    <mergeCell ref="B43:D43"/>
    <mergeCell ref="V43:W43"/>
    <mergeCell ref="B44:D44"/>
    <mergeCell ref="B45:D45"/>
    <mergeCell ref="Q45:W45"/>
    <mergeCell ref="B38:D38"/>
    <mergeCell ref="V38:W38"/>
    <mergeCell ref="B39:D39"/>
    <mergeCell ref="V39:W39"/>
    <mergeCell ref="V40:W40"/>
    <mergeCell ref="B41:D41"/>
    <mergeCell ref="V41:W41"/>
    <mergeCell ref="B34:D34"/>
    <mergeCell ref="V34:W34"/>
    <mergeCell ref="B35:D35"/>
    <mergeCell ref="U35:W35"/>
    <mergeCell ref="B36:D36"/>
    <mergeCell ref="B37:D37"/>
    <mergeCell ref="Q37:W37"/>
    <mergeCell ref="B30:E30"/>
    <mergeCell ref="H30:K30"/>
    <mergeCell ref="N30:Q30"/>
    <mergeCell ref="T30:W30"/>
    <mergeCell ref="B33:D33"/>
    <mergeCell ref="Q33:W33"/>
    <mergeCell ref="E24:H24"/>
    <mergeCell ref="K24:N24"/>
    <mergeCell ref="Q24:T24"/>
    <mergeCell ref="B27:E29"/>
    <mergeCell ref="H27:K29"/>
    <mergeCell ref="N27:Q29"/>
    <mergeCell ref="T27:W29"/>
    <mergeCell ref="F28:G29"/>
    <mergeCell ref="L28:M29"/>
    <mergeCell ref="R28:S29"/>
    <mergeCell ref="H18:K18"/>
    <mergeCell ref="N18:Q18"/>
    <mergeCell ref="T18:W18"/>
    <mergeCell ref="E21:H23"/>
    <mergeCell ref="K21:N23"/>
    <mergeCell ref="Q21:T23"/>
    <mergeCell ref="I22:J23"/>
    <mergeCell ref="U22:V23"/>
    <mergeCell ref="E12:H12"/>
    <mergeCell ref="K12:N12"/>
    <mergeCell ref="Q12:T12"/>
    <mergeCell ref="H15:K17"/>
    <mergeCell ref="N15:Q17"/>
    <mergeCell ref="T15:W17"/>
    <mergeCell ref="L16:M17"/>
    <mergeCell ref="K3:N5"/>
    <mergeCell ref="K6:N6"/>
    <mergeCell ref="E9:H11"/>
    <mergeCell ref="K9:N11"/>
    <mergeCell ref="Q9:T11"/>
    <mergeCell ref="I10:J11"/>
    <mergeCell ref="O10:P11"/>
  </mergeCells>
  <printOptions gridLines="1"/>
  <pageMargins left="0.7" right="0.7" top="0.75" bottom="0.75" header="0.3" footer="0.3"/>
  <pageSetup fitToHeight="1" fitToWidth="1" horizontalDpi="1200" verticalDpi="1200" orientation="portrait" scale="97" r:id="rId2"/>
  <headerFooter>
    <oddFooter>&amp;L&amp;F&amp;C&amp;A&amp;R&amp;D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6"/>
  <sheetViews>
    <sheetView zoomScalePageLayoutView="0" workbookViewId="0" topLeftCell="A1">
      <selection activeCell="C52" sqref="C52"/>
    </sheetView>
  </sheetViews>
  <sheetFormatPr defaultColWidth="0" defaultRowHeight="12" zeroHeight="1"/>
  <cols>
    <col min="1" max="1" width="0.42578125" style="40" customWidth="1"/>
    <col min="2" max="38" width="5.28125" style="40" customWidth="1"/>
    <col min="39" max="39" width="0.42578125" style="40" customWidth="1"/>
    <col min="40" max="16384" width="5.28125" style="40" hidden="1" customWidth="1"/>
  </cols>
  <sheetData>
    <row r="1" spans="3:38" s="1" customFormat="1" ht="12.75">
      <c r="C1" s="43" t="str">
        <f>"DETAILED DU PONT FINANCIAL ANALYSIS MODEL"&amp;IF(NOT(ISBLANK(AI46)),": "&amp;AI46,"")</f>
        <v>DETAILED DU PONT FINANCIAL ANALYSIS MODEL: Rolling Acres, Book Basis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4"/>
    </row>
    <row r="2" spans="4:34" s="6" customFormat="1" ht="12"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47"/>
      <c r="AC2" s="47"/>
      <c r="AD2" s="47"/>
      <c r="AE2" s="47"/>
      <c r="AF2" s="47"/>
      <c r="AG2" s="47"/>
      <c r="AH2" s="47"/>
    </row>
    <row r="3" spans="4:38" s="6" customFormat="1" ht="12" customHeight="1">
      <c r="D3" s="45"/>
      <c r="E3" s="45"/>
      <c r="F3" s="45"/>
      <c r="G3" s="45"/>
      <c r="H3" s="45"/>
      <c r="I3" s="45"/>
      <c r="J3" s="45"/>
      <c r="K3" s="45"/>
      <c r="N3" s="132" t="s">
        <v>81</v>
      </c>
      <c r="O3" s="133"/>
      <c r="P3" s="133"/>
      <c r="Q3" s="134"/>
      <c r="U3" s="45"/>
      <c r="V3" s="47"/>
      <c r="W3" s="46"/>
      <c r="X3" s="47"/>
      <c r="Y3" s="47"/>
      <c r="AE3" s="47"/>
      <c r="AF3" s="47"/>
      <c r="AG3" s="47"/>
      <c r="AH3" s="47"/>
      <c r="AI3" s="47"/>
      <c r="AJ3" s="47"/>
      <c r="AK3" s="47"/>
      <c r="AL3" s="47"/>
    </row>
    <row r="4" spans="4:38" s="6" customFormat="1" ht="11.25">
      <c r="D4" s="45"/>
      <c r="E4" s="45"/>
      <c r="F4" s="45"/>
      <c r="G4" s="45"/>
      <c r="H4" s="45"/>
      <c r="I4" s="45"/>
      <c r="J4" s="45"/>
      <c r="K4" s="45"/>
      <c r="N4" s="135"/>
      <c r="O4" s="136"/>
      <c r="P4" s="136"/>
      <c r="Q4" s="137"/>
      <c r="U4" s="45"/>
      <c r="V4" s="47"/>
      <c r="W4" s="47"/>
      <c r="X4" s="47"/>
      <c r="Y4" s="47"/>
      <c r="AE4" s="47"/>
      <c r="AF4" s="47"/>
      <c r="AG4" s="47"/>
      <c r="AH4" s="47"/>
      <c r="AI4" s="47"/>
      <c r="AJ4" s="47"/>
      <c r="AK4" s="47"/>
      <c r="AL4" s="47"/>
    </row>
    <row r="5" spans="4:38" s="6" customFormat="1" ht="11.25">
      <c r="D5" s="45"/>
      <c r="E5" s="45"/>
      <c r="F5" s="45"/>
      <c r="G5" s="45"/>
      <c r="H5" s="45"/>
      <c r="I5" s="45"/>
      <c r="J5" s="45"/>
      <c r="K5" s="45"/>
      <c r="N5" s="135"/>
      <c r="O5" s="136"/>
      <c r="P5" s="136"/>
      <c r="Q5" s="137"/>
      <c r="U5" s="45"/>
      <c r="V5" s="47"/>
      <c r="W5" s="47"/>
      <c r="X5" s="47"/>
      <c r="Y5" s="47"/>
      <c r="AE5" s="40"/>
      <c r="AF5" s="40"/>
      <c r="AG5" s="40"/>
      <c r="AH5" s="40"/>
      <c r="AI5" s="40"/>
      <c r="AJ5" s="40"/>
      <c r="AK5" s="40"/>
      <c r="AL5" s="40"/>
    </row>
    <row r="6" spans="4:38" s="6" customFormat="1" ht="11.25">
      <c r="D6" s="45"/>
      <c r="E6" s="45"/>
      <c r="F6" s="45"/>
      <c r="G6" s="45"/>
      <c r="H6" s="45"/>
      <c r="I6" s="45"/>
      <c r="J6" s="45"/>
      <c r="K6" s="48"/>
      <c r="N6" s="162">
        <f>IF(AND(ISNUMBER(F12),ISNUMBER(N12),ISNUMBER(V12)),F12+(N12*V12),"n/a")</f>
        <v>0.03245026428841544</v>
      </c>
      <c r="O6" s="163"/>
      <c r="P6" s="163"/>
      <c r="Q6" s="164"/>
      <c r="U6" s="45"/>
      <c r="V6" s="47"/>
      <c r="W6" s="47"/>
      <c r="X6" s="47"/>
      <c r="Y6" s="47"/>
      <c r="AH6" s="83"/>
      <c r="AI6" s="83"/>
      <c r="AJ6" s="83"/>
      <c r="AK6" s="83"/>
      <c r="AL6" s="83"/>
    </row>
    <row r="7" spans="4:38" s="6" customFormat="1" ht="11.25">
      <c r="D7" s="45"/>
      <c r="E7" s="45"/>
      <c r="F7" s="45"/>
      <c r="G7" s="45"/>
      <c r="H7" s="45"/>
      <c r="I7" s="45"/>
      <c r="J7" s="45"/>
      <c r="K7" s="48"/>
      <c r="O7" s="49"/>
      <c r="P7" s="47"/>
      <c r="U7" s="45"/>
      <c r="V7" s="47"/>
      <c r="W7" s="47"/>
      <c r="X7" s="47"/>
      <c r="Y7" s="47"/>
      <c r="AH7" s="83"/>
      <c r="AI7" s="83"/>
      <c r="AJ7" s="83"/>
      <c r="AK7" s="83"/>
      <c r="AL7" s="83"/>
    </row>
    <row r="8" spans="4:25" s="6" customFormat="1" ht="11.25">
      <c r="D8" s="45"/>
      <c r="E8" s="45"/>
      <c r="F8" s="45"/>
      <c r="G8" s="45"/>
      <c r="H8" s="50"/>
      <c r="I8" s="51"/>
      <c r="J8" s="51"/>
      <c r="K8" s="52"/>
      <c r="L8" s="53"/>
      <c r="M8" s="53"/>
      <c r="N8" s="53"/>
      <c r="O8" s="53"/>
      <c r="P8" s="54"/>
      <c r="Q8" s="53"/>
      <c r="R8" s="53"/>
      <c r="S8" s="53"/>
      <c r="T8" s="53"/>
      <c r="U8" s="51"/>
      <c r="V8" s="54"/>
      <c r="W8" s="55"/>
      <c r="X8" s="47"/>
      <c r="Y8" s="47"/>
    </row>
    <row r="9" spans="4:25" s="6" customFormat="1" ht="11.25" customHeight="1">
      <c r="D9" s="45"/>
      <c r="E9" s="45"/>
      <c r="F9" s="144" t="str">
        <f>J15</f>
        <v>Return on average
farm assets (ROA)</v>
      </c>
      <c r="G9" s="152"/>
      <c r="H9" s="152"/>
      <c r="I9" s="153"/>
      <c r="N9" s="132" t="s">
        <v>65</v>
      </c>
      <c r="O9" s="133"/>
      <c r="P9" s="133"/>
      <c r="Q9" s="134"/>
      <c r="V9" s="144" t="str">
        <f>AD21</f>
        <v>Average debt/equity
ratio</v>
      </c>
      <c r="W9" s="152"/>
      <c r="X9" s="152"/>
      <c r="Y9" s="153"/>
    </row>
    <row r="10" spans="4:31" s="6" customFormat="1" ht="11.25">
      <c r="D10" s="45"/>
      <c r="E10" s="45"/>
      <c r="F10" s="154"/>
      <c r="G10" s="143"/>
      <c r="H10" s="143"/>
      <c r="I10" s="155"/>
      <c r="K10" s="219" t="s">
        <v>3</v>
      </c>
      <c r="L10" s="219"/>
      <c r="N10" s="135"/>
      <c r="O10" s="136"/>
      <c r="P10" s="136"/>
      <c r="Q10" s="137"/>
      <c r="S10" s="219" t="s">
        <v>66</v>
      </c>
      <c r="T10" s="219"/>
      <c r="V10" s="154"/>
      <c r="W10" s="143"/>
      <c r="X10" s="143"/>
      <c r="Y10" s="155"/>
      <c r="Z10" s="56"/>
      <c r="AA10" s="56"/>
      <c r="AB10" s="56"/>
      <c r="AC10" s="56"/>
      <c r="AD10" s="56"/>
      <c r="AE10" s="56"/>
    </row>
    <row r="11" spans="4:31" s="6" customFormat="1" ht="11.25">
      <c r="D11" s="45"/>
      <c r="E11" s="45"/>
      <c r="F11" s="154"/>
      <c r="G11" s="143"/>
      <c r="H11" s="143"/>
      <c r="I11" s="155"/>
      <c r="K11" s="219"/>
      <c r="L11" s="219"/>
      <c r="N11" s="135"/>
      <c r="O11" s="136"/>
      <c r="P11" s="136"/>
      <c r="Q11" s="137"/>
      <c r="S11" s="219"/>
      <c r="T11" s="219"/>
      <c r="V11" s="154"/>
      <c r="W11" s="143"/>
      <c r="X11" s="143"/>
      <c r="Y11" s="155"/>
      <c r="AE11" s="57"/>
    </row>
    <row r="12" spans="4:31" s="6" customFormat="1" ht="11.25">
      <c r="D12" s="45"/>
      <c r="E12" s="45"/>
      <c r="F12" s="149">
        <f>J18</f>
        <v>0.05061596401498733</v>
      </c>
      <c r="G12" s="150"/>
      <c r="H12" s="150"/>
      <c r="I12" s="151"/>
      <c r="M12" s="58"/>
      <c r="N12" s="162">
        <f>IF(AND(ISNUMBER(J18),ISNUMBER(R18)),J18-R18,"n/a")</f>
        <v>-0.011913192148815088</v>
      </c>
      <c r="O12" s="163"/>
      <c r="P12" s="163"/>
      <c r="Q12" s="164"/>
      <c r="V12" s="220">
        <f>AD24</f>
        <v>1.5248389767958783</v>
      </c>
      <c r="W12" s="221"/>
      <c r="X12" s="221"/>
      <c r="Y12" s="222"/>
      <c r="AE12" s="57"/>
    </row>
    <row r="13" spans="4:34" s="6" customFormat="1" ht="11.25">
      <c r="D13" s="45"/>
      <c r="E13" s="45"/>
      <c r="F13" s="45"/>
      <c r="G13" s="45"/>
      <c r="H13" s="59"/>
      <c r="J13" s="45"/>
      <c r="K13" s="45"/>
      <c r="L13" s="45"/>
      <c r="M13" s="45"/>
      <c r="N13" s="45"/>
      <c r="O13" s="60"/>
      <c r="P13" s="61"/>
      <c r="Q13" s="60"/>
      <c r="R13" s="45"/>
      <c r="T13" s="45"/>
      <c r="U13" s="45"/>
      <c r="V13" s="45"/>
      <c r="W13" s="45"/>
      <c r="X13" s="45"/>
      <c r="Y13" s="45"/>
      <c r="Z13" s="45"/>
      <c r="AA13" s="47"/>
      <c r="AB13" s="47"/>
      <c r="AC13" s="47"/>
      <c r="AD13" s="47"/>
      <c r="AE13" s="57"/>
      <c r="AF13" s="47"/>
      <c r="AG13" s="47"/>
      <c r="AH13" s="47"/>
    </row>
    <row r="14" spans="4:34" s="6" customFormat="1" ht="11.25">
      <c r="D14" s="45"/>
      <c r="E14" s="45"/>
      <c r="F14" s="45"/>
      <c r="G14" s="45"/>
      <c r="H14" s="59"/>
      <c r="J14" s="45"/>
      <c r="K14" s="45"/>
      <c r="L14" s="61"/>
      <c r="M14" s="51"/>
      <c r="N14" s="51"/>
      <c r="O14" s="45"/>
      <c r="P14" s="51"/>
      <c r="Q14" s="51"/>
      <c r="R14" s="51"/>
      <c r="S14" s="51"/>
      <c r="T14" s="62"/>
      <c r="U14" s="45"/>
      <c r="V14" s="45"/>
      <c r="W14" s="45"/>
      <c r="AB14" s="47"/>
      <c r="AC14" s="47"/>
      <c r="AD14" s="63"/>
      <c r="AE14" s="57"/>
      <c r="AH14" s="47"/>
    </row>
    <row r="15" spans="4:31" s="6" customFormat="1" ht="12" customHeight="1">
      <c r="D15" s="45"/>
      <c r="E15" s="45"/>
      <c r="H15" s="64"/>
      <c r="J15" s="132" t="s">
        <v>80</v>
      </c>
      <c r="K15" s="133"/>
      <c r="L15" s="133"/>
      <c r="M15" s="134"/>
      <c r="N15" s="47"/>
      <c r="R15" s="144" t="s">
        <v>79</v>
      </c>
      <c r="S15" s="145"/>
      <c r="T15" s="145"/>
      <c r="U15" s="146"/>
      <c r="V15" s="45"/>
      <c r="W15" s="45"/>
      <c r="AD15" s="63"/>
      <c r="AE15" s="57"/>
    </row>
    <row r="16" spans="4:31" s="6" customFormat="1" ht="12" customHeight="1">
      <c r="D16" s="45"/>
      <c r="E16" s="45"/>
      <c r="H16" s="65"/>
      <c r="I16" s="66"/>
      <c r="J16" s="135"/>
      <c r="K16" s="136"/>
      <c r="L16" s="136"/>
      <c r="M16" s="137"/>
      <c r="O16" s="219" t="s">
        <v>67</v>
      </c>
      <c r="P16" s="219"/>
      <c r="R16" s="147"/>
      <c r="S16" s="136"/>
      <c r="T16" s="136"/>
      <c r="U16" s="148"/>
      <c r="W16" s="47"/>
      <c r="AD16" s="63"/>
      <c r="AE16" s="57"/>
    </row>
    <row r="17" spans="4:31" s="6" customFormat="1" ht="11.25">
      <c r="D17" s="45"/>
      <c r="E17" s="45"/>
      <c r="J17" s="135"/>
      <c r="K17" s="136"/>
      <c r="L17" s="136"/>
      <c r="M17" s="137"/>
      <c r="O17" s="219"/>
      <c r="P17" s="219"/>
      <c r="R17" s="147"/>
      <c r="S17" s="136"/>
      <c r="T17" s="136"/>
      <c r="U17" s="148"/>
      <c r="W17" s="47"/>
      <c r="AD17" s="63"/>
      <c r="AE17" s="57"/>
    </row>
    <row r="18" spans="4:31" s="6" customFormat="1" ht="11.25">
      <c r="D18" s="45"/>
      <c r="E18" s="45"/>
      <c r="J18" s="162">
        <f>IF(AND(ISNUMBER(F24),ISNUMBER(N24)),F24*N24,"n/a")</f>
        <v>0.05061596401498733</v>
      </c>
      <c r="K18" s="163"/>
      <c r="L18" s="163"/>
      <c r="M18" s="164"/>
      <c r="N18" s="47"/>
      <c r="R18" s="149">
        <f>IF(AF30,K46/AF30,"n/a")</f>
        <v>0.06252915616380242</v>
      </c>
      <c r="S18" s="150"/>
      <c r="T18" s="150"/>
      <c r="U18" s="151"/>
      <c r="W18" s="47"/>
      <c r="AD18" s="63"/>
      <c r="AE18" s="57"/>
    </row>
    <row r="19" spans="4:34" s="6" customFormat="1" ht="11.25">
      <c r="D19" s="45"/>
      <c r="E19" s="45"/>
      <c r="F19" s="45"/>
      <c r="G19" s="45"/>
      <c r="H19" s="45"/>
      <c r="I19" s="18"/>
      <c r="J19" s="60"/>
      <c r="K19" s="60"/>
      <c r="L19" s="61"/>
      <c r="M19" s="60"/>
      <c r="N19" s="60"/>
      <c r="O19" s="45"/>
      <c r="P19" s="45"/>
      <c r="Q19" s="45"/>
      <c r="R19" s="45"/>
      <c r="S19" s="47"/>
      <c r="T19" s="45"/>
      <c r="U19" s="45"/>
      <c r="V19" s="45"/>
      <c r="AC19" s="47"/>
      <c r="AD19" s="47"/>
      <c r="AE19" s="67"/>
      <c r="AF19" s="47"/>
      <c r="AG19" s="47"/>
      <c r="AH19" s="47"/>
    </row>
    <row r="20" spans="6:34" s="6" customFormat="1" ht="11.25">
      <c r="F20" s="45"/>
      <c r="G20" s="45"/>
      <c r="H20" s="61"/>
      <c r="I20" s="30"/>
      <c r="J20" s="45"/>
      <c r="K20" s="45"/>
      <c r="L20" s="45"/>
      <c r="M20" s="45"/>
      <c r="N20" s="45"/>
      <c r="O20" s="68"/>
      <c r="P20" s="60"/>
      <c r="Q20" s="45"/>
      <c r="R20" s="45"/>
      <c r="S20" s="45"/>
      <c r="V20" s="45"/>
      <c r="AC20" s="47"/>
      <c r="AD20" s="69"/>
      <c r="AE20" s="70"/>
      <c r="AH20" s="47"/>
    </row>
    <row r="21" spans="6:34" s="6" customFormat="1" ht="12" customHeight="1">
      <c r="F21" s="132" t="s">
        <v>77</v>
      </c>
      <c r="G21" s="133"/>
      <c r="H21" s="133"/>
      <c r="I21" s="134"/>
      <c r="K21" s="45"/>
      <c r="L21" s="45"/>
      <c r="N21" s="132" t="s">
        <v>63</v>
      </c>
      <c r="O21" s="133"/>
      <c r="P21" s="133"/>
      <c r="Q21" s="134"/>
      <c r="R21" s="47"/>
      <c r="S21" s="47"/>
      <c r="T21" s="47"/>
      <c r="U21" s="47"/>
      <c r="AC21" s="47"/>
      <c r="AD21" s="132" t="s">
        <v>78</v>
      </c>
      <c r="AE21" s="133"/>
      <c r="AF21" s="133"/>
      <c r="AG21" s="134"/>
      <c r="AH21" s="47"/>
    </row>
    <row r="22" spans="6:34" s="6" customFormat="1" ht="11.25">
      <c r="F22" s="135"/>
      <c r="G22" s="136"/>
      <c r="H22" s="136"/>
      <c r="I22" s="137"/>
      <c r="K22" s="219" t="s">
        <v>66</v>
      </c>
      <c r="L22" s="218"/>
      <c r="N22" s="135"/>
      <c r="O22" s="136"/>
      <c r="P22" s="136"/>
      <c r="Q22" s="137"/>
      <c r="R22" s="47"/>
      <c r="S22" s="45"/>
      <c r="T22" s="45"/>
      <c r="U22" s="45"/>
      <c r="V22" s="45"/>
      <c r="AC22" s="63"/>
      <c r="AD22" s="135"/>
      <c r="AE22" s="136"/>
      <c r="AF22" s="136"/>
      <c r="AG22" s="137"/>
      <c r="AH22" s="47"/>
    </row>
    <row r="23" spans="6:34" s="6" customFormat="1" ht="11.25">
      <c r="F23" s="135"/>
      <c r="G23" s="136"/>
      <c r="H23" s="136"/>
      <c r="I23" s="137"/>
      <c r="K23" s="218"/>
      <c r="L23" s="218"/>
      <c r="N23" s="135"/>
      <c r="O23" s="136"/>
      <c r="P23" s="136"/>
      <c r="Q23" s="137"/>
      <c r="R23" s="47"/>
      <c r="S23" s="45"/>
      <c r="T23" s="45"/>
      <c r="U23" s="45"/>
      <c r="V23" s="45"/>
      <c r="W23" s="63"/>
      <c r="AD23" s="135"/>
      <c r="AE23" s="136"/>
      <c r="AF23" s="136"/>
      <c r="AG23" s="137"/>
      <c r="AH23" s="47"/>
    </row>
    <row r="24" spans="6:34" s="6" customFormat="1" ht="11.25">
      <c r="F24" s="162">
        <f>IF(J30,B30/J30,"n/a")</f>
        <v>0.1588136274483138</v>
      </c>
      <c r="G24" s="163"/>
      <c r="H24" s="163"/>
      <c r="I24" s="164"/>
      <c r="K24" s="45"/>
      <c r="L24" s="45"/>
      <c r="N24" s="215">
        <f>IF(R30,J30/R30,"n/a")</f>
        <v>0.3187129771433525</v>
      </c>
      <c r="O24" s="216"/>
      <c r="P24" s="216"/>
      <c r="Q24" s="217"/>
      <c r="R24" s="47"/>
      <c r="S24" s="47"/>
      <c r="T24" s="47"/>
      <c r="U24" s="47"/>
      <c r="W24" s="63"/>
      <c r="AB24" s="47"/>
      <c r="AC24" s="47"/>
      <c r="AD24" s="215">
        <f>IF(Y30,AF30/Y30,"n/a")</f>
        <v>1.5248389767958783</v>
      </c>
      <c r="AE24" s="216"/>
      <c r="AF24" s="216"/>
      <c r="AG24" s="217"/>
      <c r="AH24" s="47"/>
    </row>
    <row r="25" spans="6:34" s="6" customFormat="1" ht="11.25">
      <c r="F25" s="34"/>
      <c r="G25" s="60"/>
      <c r="H25" s="71"/>
      <c r="I25" s="72"/>
      <c r="J25" s="60"/>
      <c r="K25" s="60"/>
      <c r="L25" s="60"/>
      <c r="M25" s="60"/>
      <c r="N25" s="60"/>
      <c r="O25" s="68"/>
      <c r="P25" s="72"/>
      <c r="Q25" s="60"/>
      <c r="R25" s="45"/>
      <c r="S25" s="45"/>
      <c r="T25" s="45"/>
      <c r="U25" s="45"/>
      <c r="V25" s="45"/>
      <c r="W25" s="60"/>
      <c r="X25" s="73"/>
      <c r="Y25" s="73"/>
      <c r="Z25" s="73"/>
      <c r="AA25" s="47"/>
      <c r="AB25" s="47"/>
      <c r="AC25" s="47"/>
      <c r="AD25" s="47"/>
      <c r="AE25" s="74"/>
      <c r="AF25" s="47"/>
      <c r="AG25" s="47"/>
      <c r="AH25" s="47"/>
    </row>
    <row r="26" spans="2:38" s="6" customFormat="1" ht="11.25">
      <c r="B26" s="45"/>
      <c r="C26" s="37"/>
      <c r="D26" s="71"/>
      <c r="E26" s="72"/>
      <c r="H26" s="45"/>
      <c r="I26" s="45"/>
      <c r="J26" s="45"/>
      <c r="K26" s="45"/>
      <c r="L26" s="61"/>
      <c r="M26" s="45"/>
      <c r="N26" s="45"/>
      <c r="O26" s="45"/>
      <c r="P26" s="45"/>
      <c r="Q26" s="51"/>
      <c r="R26" s="72"/>
      <c r="S26" s="68"/>
      <c r="T26" s="51"/>
      <c r="U26" s="51"/>
      <c r="V26" s="51"/>
      <c r="X26" s="53"/>
      <c r="Y26" s="63"/>
      <c r="Z26" s="49"/>
      <c r="AA26" s="75"/>
      <c r="AB26" s="54"/>
      <c r="AC26" s="54"/>
      <c r="AD26" s="54"/>
      <c r="AE26" s="54"/>
      <c r="AF26" s="53"/>
      <c r="AG26" s="53"/>
      <c r="AH26" s="76"/>
      <c r="AI26" s="69"/>
      <c r="AJ26" s="47"/>
      <c r="AK26" s="47"/>
      <c r="AL26" s="47"/>
    </row>
    <row r="27" spans="2:38" s="6" customFormat="1" ht="12" customHeight="1">
      <c r="B27" s="132" t="s">
        <v>122</v>
      </c>
      <c r="C27" s="133"/>
      <c r="D27" s="133"/>
      <c r="E27" s="134"/>
      <c r="H27" s="45"/>
      <c r="I27" s="45"/>
      <c r="J27" s="132" t="s">
        <v>61</v>
      </c>
      <c r="K27" s="133"/>
      <c r="L27" s="133"/>
      <c r="M27" s="134"/>
      <c r="N27" s="47"/>
      <c r="O27" s="45"/>
      <c r="R27" s="132" t="s">
        <v>73</v>
      </c>
      <c r="S27" s="133"/>
      <c r="T27" s="133"/>
      <c r="U27" s="134"/>
      <c r="V27" s="47"/>
      <c r="Y27" s="132" t="s">
        <v>75</v>
      </c>
      <c r="Z27" s="133"/>
      <c r="AA27" s="133"/>
      <c r="AB27" s="134"/>
      <c r="AD27" s="47"/>
      <c r="AE27" s="47"/>
      <c r="AF27" s="132" t="s">
        <v>74</v>
      </c>
      <c r="AG27" s="133"/>
      <c r="AH27" s="133"/>
      <c r="AI27" s="134"/>
      <c r="AJ27" s="47"/>
      <c r="AK27" s="47"/>
      <c r="AL27" s="47"/>
    </row>
    <row r="28" spans="2:38" s="6" customFormat="1" ht="11.25">
      <c r="B28" s="135"/>
      <c r="C28" s="136"/>
      <c r="D28" s="136"/>
      <c r="E28" s="137"/>
      <c r="G28" s="218" t="s">
        <v>2</v>
      </c>
      <c r="H28" s="218"/>
      <c r="J28" s="135"/>
      <c r="K28" s="136"/>
      <c r="L28" s="136"/>
      <c r="M28" s="137"/>
      <c r="O28" s="218" t="s">
        <v>2</v>
      </c>
      <c r="P28" s="218"/>
      <c r="R28" s="135"/>
      <c r="S28" s="136"/>
      <c r="T28" s="136"/>
      <c r="U28" s="137"/>
      <c r="Y28" s="135"/>
      <c r="Z28" s="136"/>
      <c r="AA28" s="136"/>
      <c r="AB28" s="137"/>
      <c r="AC28" s="218" t="s">
        <v>1</v>
      </c>
      <c r="AD28" s="218"/>
      <c r="AE28" s="218"/>
      <c r="AF28" s="135"/>
      <c r="AG28" s="136"/>
      <c r="AH28" s="136"/>
      <c r="AI28" s="137"/>
      <c r="AJ28" s="47"/>
      <c r="AK28" s="47"/>
      <c r="AL28" s="47"/>
    </row>
    <row r="29" spans="2:38" s="6" customFormat="1" ht="11.25">
      <c r="B29" s="135"/>
      <c r="C29" s="136"/>
      <c r="D29" s="136"/>
      <c r="E29" s="137"/>
      <c r="G29" s="218"/>
      <c r="H29" s="218"/>
      <c r="J29" s="135"/>
      <c r="K29" s="136"/>
      <c r="L29" s="136"/>
      <c r="M29" s="137"/>
      <c r="O29" s="218"/>
      <c r="P29" s="218"/>
      <c r="R29" s="135"/>
      <c r="S29" s="136"/>
      <c r="T29" s="136"/>
      <c r="U29" s="137"/>
      <c r="Y29" s="135"/>
      <c r="Z29" s="136"/>
      <c r="AA29" s="136"/>
      <c r="AB29" s="137"/>
      <c r="AC29" s="218"/>
      <c r="AD29" s="218"/>
      <c r="AE29" s="218"/>
      <c r="AF29" s="135"/>
      <c r="AG29" s="136"/>
      <c r="AH29" s="136"/>
      <c r="AI29" s="137"/>
      <c r="AJ29" s="47"/>
      <c r="AK29" s="47"/>
      <c r="AL29" s="47"/>
    </row>
    <row r="30" spans="2:38" s="6" customFormat="1" ht="11.25">
      <c r="B30" s="178">
        <f>K47+K46-K48</f>
        <v>105100</v>
      </c>
      <c r="C30" s="179"/>
      <c r="D30" s="179"/>
      <c r="E30" s="180"/>
      <c r="H30" s="45"/>
      <c r="I30" s="45"/>
      <c r="J30" s="178">
        <f>K43</f>
        <v>661782</v>
      </c>
      <c r="K30" s="179"/>
      <c r="L30" s="179"/>
      <c r="M30" s="180"/>
      <c r="N30" s="47"/>
      <c r="O30" s="45"/>
      <c r="R30" s="178">
        <f>Q42+W42</f>
        <v>2076420</v>
      </c>
      <c r="S30" s="179"/>
      <c r="T30" s="179"/>
      <c r="U30" s="180"/>
      <c r="V30" s="47"/>
      <c r="Y30" s="178">
        <f>R30-AF30</f>
        <v>822397</v>
      </c>
      <c r="Z30" s="179"/>
      <c r="AA30" s="179"/>
      <c r="AB30" s="180"/>
      <c r="AE30" s="47"/>
      <c r="AF30" s="178">
        <f>AE42+AK41</f>
        <v>1254023</v>
      </c>
      <c r="AG30" s="179"/>
      <c r="AH30" s="179"/>
      <c r="AI30" s="180"/>
      <c r="AJ30" s="47"/>
      <c r="AK30" s="47"/>
      <c r="AL30" s="47"/>
    </row>
    <row r="31" spans="4:38" s="6" customFormat="1" ht="11.25">
      <c r="D31" s="76"/>
      <c r="E31" s="69"/>
      <c r="F31" s="69"/>
      <c r="G31" s="69"/>
      <c r="H31" s="60"/>
      <c r="I31" s="60"/>
      <c r="J31" s="60"/>
      <c r="K31" s="77"/>
      <c r="L31" s="45"/>
      <c r="O31" s="45"/>
      <c r="P31" s="45"/>
      <c r="Q31" s="60"/>
      <c r="R31" s="60"/>
      <c r="S31" s="68"/>
      <c r="T31" s="60"/>
      <c r="U31" s="60"/>
      <c r="V31" s="45"/>
      <c r="W31" s="45"/>
      <c r="AE31" s="45"/>
      <c r="AF31" s="51"/>
      <c r="AG31" s="68"/>
      <c r="AH31" s="45"/>
      <c r="AI31" s="45"/>
      <c r="AJ31" s="45"/>
      <c r="AK31" s="45"/>
      <c r="AL31" s="47"/>
    </row>
    <row r="32" spans="8:38" s="6" customFormat="1" ht="11.25">
      <c r="H32" s="50"/>
      <c r="I32" s="45"/>
      <c r="L32" s="47"/>
      <c r="O32" s="47"/>
      <c r="P32" s="78"/>
      <c r="Q32" s="47"/>
      <c r="R32" s="47"/>
      <c r="S32" s="47"/>
      <c r="T32" s="47"/>
      <c r="U32" s="47"/>
      <c r="V32" s="79"/>
      <c r="W32" s="73"/>
      <c r="AD32" s="47"/>
      <c r="AE32" s="80"/>
      <c r="AF32" s="54"/>
      <c r="AG32" s="54"/>
      <c r="AH32" s="54"/>
      <c r="AI32" s="54"/>
      <c r="AJ32" s="55"/>
      <c r="AK32" s="47"/>
      <c r="AL32" s="47"/>
    </row>
    <row r="33" spans="3:38" s="6" customFormat="1" ht="12" customHeight="1">
      <c r="C33" s="193" t="s">
        <v>40</v>
      </c>
      <c r="D33" s="194"/>
      <c r="E33" s="194"/>
      <c r="F33" s="194"/>
      <c r="G33" s="194"/>
      <c r="H33" s="194"/>
      <c r="I33" s="194"/>
      <c r="J33" s="194"/>
      <c r="K33" s="194"/>
      <c r="L33" s="195"/>
      <c r="O33" s="132" t="s">
        <v>82</v>
      </c>
      <c r="P33" s="133"/>
      <c r="Q33" s="133"/>
      <c r="R33" s="134"/>
      <c r="S33" s="81"/>
      <c r="T33" s="81"/>
      <c r="U33" s="132" t="s">
        <v>83</v>
      </c>
      <c r="V33" s="133"/>
      <c r="W33" s="133"/>
      <c r="X33" s="134"/>
      <c r="Y33" s="81"/>
      <c r="AB33" s="81"/>
      <c r="AC33" s="132" t="s">
        <v>84</v>
      </c>
      <c r="AD33" s="133"/>
      <c r="AE33" s="133"/>
      <c r="AF33" s="134"/>
      <c r="AG33" s="81"/>
      <c r="AH33" s="81"/>
      <c r="AI33" s="132" t="s">
        <v>85</v>
      </c>
      <c r="AJ33" s="133"/>
      <c r="AK33" s="133"/>
      <c r="AL33" s="134"/>
    </row>
    <row r="34" spans="3:38" s="83" customFormat="1" ht="11.25">
      <c r="C34" s="244" t="s">
        <v>20</v>
      </c>
      <c r="D34" s="245"/>
      <c r="E34" s="245" t="s">
        <v>21</v>
      </c>
      <c r="F34" s="245"/>
      <c r="G34" s="252" t="s">
        <v>22</v>
      </c>
      <c r="H34" s="252"/>
      <c r="I34" s="82"/>
      <c r="J34" s="82"/>
      <c r="K34" s="245" t="s">
        <v>19</v>
      </c>
      <c r="L34" s="253"/>
      <c r="O34" s="135"/>
      <c r="P34" s="136"/>
      <c r="Q34" s="136"/>
      <c r="R34" s="137"/>
      <c r="S34" s="265" t="s">
        <v>3</v>
      </c>
      <c r="T34" s="265"/>
      <c r="U34" s="135"/>
      <c r="V34" s="136"/>
      <c r="W34" s="136"/>
      <c r="X34" s="137"/>
      <c r="Y34" s="84"/>
      <c r="AB34" s="84"/>
      <c r="AC34" s="135"/>
      <c r="AD34" s="136"/>
      <c r="AE34" s="136"/>
      <c r="AF34" s="137"/>
      <c r="AG34" s="265" t="s">
        <v>3</v>
      </c>
      <c r="AH34" s="265"/>
      <c r="AI34" s="135"/>
      <c r="AJ34" s="136"/>
      <c r="AK34" s="136"/>
      <c r="AL34" s="137"/>
    </row>
    <row r="35" spans="3:38" ht="11.25">
      <c r="C35" s="250">
        <v>1</v>
      </c>
      <c r="D35" s="251"/>
      <c r="E35" s="236">
        <v>122880</v>
      </c>
      <c r="F35" s="236"/>
      <c r="G35" s="237">
        <v>2.45</v>
      </c>
      <c r="H35" s="237"/>
      <c r="I35" s="42"/>
      <c r="J35" s="42"/>
      <c r="K35" s="183">
        <f>E35*G35</f>
        <v>301056</v>
      </c>
      <c r="L35" s="184"/>
      <c r="O35" s="135"/>
      <c r="P35" s="136"/>
      <c r="Q35" s="136"/>
      <c r="R35" s="137"/>
      <c r="S35" s="266"/>
      <c r="T35" s="266"/>
      <c r="U35" s="135"/>
      <c r="V35" s="136"/>
      <c r="W35" s="136"/>
      <c r="X35" s="137"/>
      <c r="Y35" s="41"/>
      <c r="Z35" s="41"/>
      <c r="AA35" s="41"/>
      <c r="AB35" s="41"/>
      <c r="AC35" s="135"/>
      <c r="AD35" s="136"/>
      <c r="AE35" s="136"/>
      <c r="AF35" s="137"/>
      <c r="AG35" s="266"/>
      <c r="AH35" s="266"/>
      <c r="AI35" s="135"/>
      <c r="AJ35" s="136"/>
      <c r="AK35" s="136"/>
      <c r="AL35" s="137"/>
    </row>
    <row r="36" spans="3:38" ht="11.25">
      <c r="C36" s="196">
        <v>2</v>
      </c>
      <c r="D36" s="197"/>
      <c r="E36" s="236">
        <v>35488</v>
      </c>
      <c r="F36" s="236"/>
      <c r="G36" s="237">
        <v>5.25</v>
      </c>
      <c r="H36" s="237"/>
      <c r="I36" s="42"/>
      <c r="J36" s="42"/>
      <c r="K36" s="183">
        <f>E36*G36</f>
        <v>186312</v>
      </c>
      <c r="L36" s="184"/>
      <c r="O36" s="178">
        <f>Q42</f>
        <v>302955</v>
      </c>
      <c r="P36" s="179"/>
      <c r="Q36" s="179"/>
      <c r="R36" s="180"/>
      <c r="S36" s="41"/>
      <c r="T36" s="41"/>
      <c r="U36" s="178">
        <f>W42</f>
        <v>1773465</v>
      </c>
      <c r="V36" s="179"/>
      <c r="W36" s="179"/>
      <c r="X36" s="180"/>
      <c r="Y36" s="41"/>
      <c r="Z36" s="41"/>
      <c r="AA36" s="41"/>
      <c r="AB36" s="41"/>
      <c r="AC36" s="178">
        <f>AE42</f>
        <v>551499</v>
      </c>
      <c r="AD36" s="179"/>
      <c r="AE36" s="179"/>
      <c r="AF36" s="180"/>
      <c r="AG36" s="41"/>
      <c r="AH36" s="41"/>
      <c r="AI36" s="178">
        <f>AK41</f>
        <v>702524</v>
      </c>
      <c r="AJ36" s="179"/>
      <c r="AK36" s="179"/>
      <c r="AL36" s="180"/>
    </row>
    <row r="37" spans="3:38" ht="11.25">
      <c r="C37" s="196">
        <v>3</v>
      </c>
      <c r="D37" s="197"/>
      <c r="E37" s="236">
        <v>43225</v>
      </c>
      <c r="F37" s="236"/>
      <c r="G37" s="237">
        <v>2.75</v>
      </c>
      <c r="H37" s="237"/>
      <c r="I37" s="42"/>
      <c r="J37" s="42"/>
      <c r="K37" s="183">
        <f>E37*G37</f>
        <v>118868.75</v>
      </c>
      <c r="L37" s="184"/>
      <c r="O37" s="85" t="s">
        <v>4</v>
      </c>
      <c r="P37" s="86"/>
      <c r="Q37" s="228">
        <v>0</v>
      </c>
      <c r="R37" s="229"/>
      <c r="S37" s="41"/>
      <c r="T37" s="41"/>
      <c r="U37" s="85" t="s">
        <v>5</v>
      </c>
      <c r="V37" s="86"/>
      <c r="W37" s="228">
        <v>0</v>
      </c>
      <c r="X37" s="229"/>
      <c r="Y37" s="41"/>
      <c r="Z37" s="41"/>
      <c r="AA37" s="41"/>
      <c r="AB37" s="41"/>
      <c r="AC37" s="85" t="s">
        <v>6</v>
      </c>
      <c r="AD37" s="86"/>
      <c r="AE37" s="228">
        <v>0</v>
      </c>
      <c r="AF37" s="229"/>
      <c r="AG37" s="41"/>
      <c r="AH37" s="41"/>
      <c r="AI37" s="85" t="s">
        <v>6</v>
      </c>
      <c r="AJ37" s="86"/>
      <c r="AK37" s="228">
        <v>0</v>
      </c>
      <c r="AL37" s="229"/>
    </row>
    <row r="38" spans="3:38" ht="11.25">
      <c r="C38" s="238" t="s">
        <v>23</v>
      </c>
      <c r="D38" s="239"/>
      <c r="E38" s="239" t="s">
        <v>24</v>
      </c>
      <c r="F38" s="239"/>
      <c r="G38" s="239" t="s">
        <v>25</v>
      </c>
      <c r="H38" s="239"/>
      <c r="I38" s="239" t="s">
        <v>26</v>
      </c>
      <c r="J38" s="239"/>
      <c r="K38" s="248"/>
      <c r="L38" s="249"/>
      <c r="M38" s="83"/>
      <c r="N38" s="83"/>
      <c r="O38" s="87" t="s">
        <v>7</v>
      </c>
      <c r="P38" s="84"/>
      <c r="Q38" s="191">
        <v>0</v>
      </c>
      <c r="R38" s="192"/>
      <c r="S38" s="41"/>
      <c r="T38" s="41"/>
      <c r="U38" s="88" t="s">
        <v>8</v>
      </c>
      <c r="V38" s="41"/>
      <c r="W38" s="191">
        <v>0</v>
      </c>
      <c r="X38" s="192"/>
      <c r="Y38" s="41"/>
      <c r="Z38" s="41"/>
      <c r="AA38" s="41"/>
      <c r="AB38" s="41"/>
      <c r="AC38" s="88" t="s">
        <v>9</v>
      </c>
      <c r="AD38" s="41"/>
      <c r="AE38" s="191">
        <v>0</v>
      </c>
      <c r="AF38" s="192"/>
      <c r="AG38" s="41"/>
      <c r="AH38" s="41"/>
      <c r="AI38" s="88" t="s">
        <v>10</v>
      </c>
      <c r="AJ38" s="41"/>
      <c r="AK38" s="191">
        <v>0</v>
      </c>
      <c r="AL38" s="192"/>
    </row>
    <row r="39" spans="3:38" ht="11.25">
      <c r="C39" s="196">
        <v>1</v>
      </c>
      <c r="D39" s="197"/>
      <c r="E39" s="236">
        <v>0</v>
      </c>
      <c r="F39" s="236"/>
      <c r="G39" s="236">
        <v>0</v>
      </c>
      <c r="H39" s="236"/>
      <c r="I39" s="237">
        <v>0</v>
      </c>
      <c r="J39" s="237"/>
      <c r="K39" s="183">
        <f>E39*G39*I39/100</f>
        <v>0</v>
      </c>
      <c r="L39" s="184"/>
      <c r="O39" s="88" t="s">
        <v>36</v>
      </c>
      <c r="P39" s="41"/>
      <c r="Q39" s="191">
        <v>0</v>
      </c>
      <c r="R39" s="192"/>
      <c r="S39" s="41"/>
      <c r="T39" s="41"/>
      <c r="U39" s="88" t="s">
        <v>11</v>
      </c>
      <c r="V39" s="41"/>
      <c r="W39" s="191">
        <v>0</v>
      </c>
      <c r="X39" s="192"/>
      <c r="Y39" s="41"/>
      <c r="Z39" s="41"/>
      <c r="AA39" s="41"/>
      <c r="AB39" s="41"/>
      <c r="AC39" s="88" t="s">
        <v>12</v>
      </c>
      <c r="AD39" s="41"/>
      <c r="AE39" s="191">
        <v>0</v>
      </c>
      <c r="AF39" s="192"/>
      <c r="AG39" s="41"/>
      <c r="AH39" s="41"/>
      <c r="AI39" s="88" t="s">
        <v>13</v>
      </c>
      <c r="AJ39" s="41"/>
      <c r="AK39" s="191">
        <v>0</v>
      </c>
      <c r="AL39" s="192"/>
    </row>
    <row r="40" spans="3:38" ht="11.25">
      <c r="C40" s="196">
        <v>2</v>
      </c>
      <c r="D40" s="197"/>
      <c r="E40" s="236">
        <v>0</v>
      </c>
      <c r="F40" s="236"/>
      <c r="G40" s="236">
        <v>0</v>
      </c>
      <c r="H40" s="236"/>
      <c r="I40" s="237">
        <v>0</v>
      </c>
      <c r="J40" s="237"/>
      <c r="K40" s="183">
        <f>E40*G40*I40/100</f>
        <v>0</v>
      </c>
      <c r="L40" s="184"/>
      <c r="O40" s="88" t="s">
        <v>14</v>
      </c>
      <c r="P40" s="41"/>
      <c r="Q40" s="191">
        <v>0</v>
      </c>
      <c r="R40" s="192"/>
      <c r="S40" s="41"/>
      <c r="T40" s="41"/>
      <c r="U40" s="88" t="s">
        <v>15</v>
      </c>
      <c r="V40" s="41"/>
      <c r="W40" s="191">
        <v>0</v>
      </c>
      <c r="X40" s="192"/>
      <c r="Y40" s="41"/>
      <c r="Z40" s="41"/>
      <c r="AA40" s="41"/>
      <c r="AB40" s="41"/>
      <c r="AC40" s="88" t="s">
        <v>16</v>
      </c>
      <c r="AD40" s="41"/>
      <c r="AE40" s="191">
        <v>0</v>
      </c>
      <c r="AF40" s="192"/>
      <c r="AG40" s="41"/>
      <c r="AH40" s="41"/>
      <c r="AI40" s="89" t="s">
        <v>17</v>
      </c>
      <c r="AJ40" s="90"/>
      <c r="AK40" s="203">
        <v>702524</v>
      </c>
      <c r="AL40" s="204"/>
    </row>
    <row r="41" spans="3:38" ht="11.25">
      <c r="C41" s="196">
        <v>3</v>
      </c>
      <c r="D41" s="197"/>
      <c r="E41" s="236">
        <v>0</v>
      </c>
      <c r="F41" s="236"/>
      <c r="G41" s="236">
        <v>0</v>
      </c>
      <c r="H41" s="236"/>
      <c r="I41" s="237">
        <v>0</v>
      </c>
      <c r="J41" s="237"/>
      <c r="K41" s="183">
        <f>E41*G41*I41/100</f>
        <v>0</v>
      </c>
      <c r="L41" s="184"/>
      <c r="O41" s="89" t="s">
        <v>17</v>
      </c>
      <c r="P41" s="90"/>
      <c r="Q41" s="203">
        <v>302955</v>
      </c>
      <c r="R41" s="204"/>
      <c r="S41" s="41"/>
      <c r="T41" s="41"/>
      <c r="U41" s="89" t="s">
        <v>17</v>
      </c>
      <c r="V41" s="90"/>
      <c r="W41" s="203">
        <v>1773465</v>
      </c>
      <c r="X41" s="204"/>
      <c r="Y41" s="41"/>
      <c r="Z41" s="41"/>
      <c r="AA41" s="41"/>
      <c r="AB41" s="41"/>
      <c r="AC41" s="89" t="s">
        <v>17</v>
      </c>
      <c r="AD41" s="90"/>
      <c r="AE41" s="203">
        <v>551499</v>
      </c>
      <c r="AF41" s="204"/>
      <c r="AG41" s="41"/>
      <c r="AH41" s="41"/>
      <c r="AI41" s="89" t="s">
        <v>18</v>
      </c>
      <c r="AJ41" s="90"/>
      <c r="AK41" s="223">
        <f>SUM(AK37:AL40)</f>
        <v>702524</v>
      </c>
      <c r="AL41" s="224"/>
    </row>
    <row r="42" spans="3:38" ht="11.25">
      <c r="C42" s="88" t="s">
        <v>27</v>
      </c>
      <c r="D42" s="88"/>
      <c r="E42" s="42"/>
      <c r="F42" s="41"/>
      <c r="G42" s="41"/>
      <c r="H42" s="42"/>
      <c r="I42" s="41"/>
      <c r="J42" s="42"/>
      <c r="K42" s="203">
        <v>55545.25</v>
      </c>
      <c r="L42" s="204"/>
      <c r="O42" s="89" t="s">
        <v>18</v>
      </c>
      <c r="P42" s="90"/>
      <c r="Q42" s="223">
        <f>SUM(Q37:R41)</f>
        <v>302955</v>
      </c>
      <c r="R42" s="224"/>
      <c r="S42" s="41"/>
      <c r="T42" s="41"/>
      <c r="U42" s="89" t="s">
        <v>18</v>
      </c>
      <c r="V42" s="90"/>
      <c r="W42" s="223">
        <f>SUM(W37:X41)</f>
        <v>1773465</v>
      </c>
      <c r="X42" s="224"/>
      <c r="Y42" s="41"/>
      <c r="Z42" s="41"/>
      <c r="AA42" s="41"/>
      <c r="AB42" s="41"/>
      <c r="AC42" s="89" t="s">
        <v>18</v>
      </c>
      <c r="AD42" s="90"/>
      <c r="AE42" s="223">
        <f>SUM(AE37:AF41)</f>
        <v>551499</v>
      </c>
      <c r="AF42" s="224"/>
      <c r="AG42" s="41"/>
      <c r="AH42" s="41"/>
      <c r="AI42" s="89" t="s">
        <v>121</v>
      </c>
      <c r="AJ42" s="90"/>
      <c r="AK42" s="203"/>
      <c r="AL42" s="204"/>
    </row>
    <row r="43" spans="3:12" ht="11.25">
      <c r="C43" s="91" t="s">
        <v>41</v>
      </c>
      <c r="D43" s="91"/>
      <c r="E43" s="92"/>
      <c r="F43" s="92"/>
      <c r="G43" s="92"/>
      <c r="H43" s="92"/>
      <c r="I43" s="92"/>
      <c r="J43" s="92"/>
      <c r="K43" s="242">
        <f>SUM(K35:L42)</f>
        <v>661782</v>
      </c>
      <c r="L43" s="243"/>
    </row>
    <row r="44" spans="3:24" ht="11.25">
      <c r="C44" s="93" t="s">
        <v>28</v>
      </c>
      <c r="D44" s="93"/>
      <c r="E44" s="94"/>
      <c r="F44" s="94"/>
      <c r="G44" s="94"/>
      <c r="H44" s="94"/>
      <c r="I44" s="94"/>
      <c r="J44" s="94"/>
      <c r="K44" s="181">
        <v>393316</v>
      </c>
      <c r="L44" s="182"/>
      <c r="O44" s="225" t="s">
        <v>39</v>
      </c>
      <c r="P44" s="226"/>
      <c r="Q44" s="226"/>
      <c r="R44" s="226"/>
      <c r="S44" s="226"/>
      <c r="T44" s="226"/>
      <c r="U44" s="226"/>
      <c r="V44" s="226"/>
      <c r="W44" s="226"/>
      <c r="X44" s="227"/>
    </row>
    <row r="45" spans="3:38" ht="11.25">
      <c r="C45" s="95" t="s">
        <v>31</v>
      </c>
      <c r="D45" s="95"/>
      <c r="E45" s="42"/>
      <c r="F45" s="42"/>
      <c r="G45" s="42"/>
      <c r="H45" s="42"/>
      <c r="I45" s="42"/>
      <c r="J45" s="42"/>
      <c r="K45" s="240">
        <v>118366</v>
      </c>
      <c r="L45" s="241"/>
      <c r="O45" s="93" t="s">
        <v>29</v>
      </c>
      <c r="P45" s="94"/>
      <c r="Q45" s="94"/>
      <c r="R45" s="94"/>
      <c r="S45" s="94"/>
      <c r="T45" s="94"/>
      <c r="U45" s="94"/>
      <c r="V45" s="94"/>
      <c r="W45" s="189">
        <f>K47</f>
        <v>71687</v>
      </c>
      <c r="X45" s="190"/>
      <c r="AA45" s="193" t="s">
        <v>113</v>
      </c>
      <c r="AB45" s="194"/>
      <c r="AC45" s="194"/>
      <c r="AD45" s="194"/>
      <c r="AE45" s="194"/>
      <c r="AF45" s="195"/>
      <c r="AI45" s="225" t="s">
        <v>88</v>
      </c>
      <c r="AJ45" s="226"/>
      <c r="AK45" s="226"/>
      <c r="AL45" s="227"/>
    </row>
    <row r="46" spans="3:38" ht="11.25">
      <c r="C46" s="96" t="s">
        <v>32</v>
      </c>
      <c r="D46" s="96"/>
      <c r="E46" s="42"/>
      <c r="F46" s="97"/>
      <c r="G46" s="42"/>
      <c r="H46" s="42"/>
      <c r="I46" s="42"/>
      <c r="J46" s="42"/>
      <c r="K46" s="203">
        <v>78413</v>
      </c>
      <c r="L46" s="204"/>
      <c r="O46" s="98" t="s">
        <v>44</v>
      </c>
      <c r="P46" s="42"/>
      <c r="Q46" s="42"/>
      <c r="R46" s="42"/>
      <c r="S46" s="42"/>
      <c r="T46" s="42"/>
      <c r="U46" s="42"/>
      <c r="V46" s="42"/>
      <c r="W46" s="183">
        <f>K45</f>
        <v>118366</v>
      </c>
      <c r="X46" s="184"/>
      <c r="AA46" s="114" t="s">
        <v>114</v>
      </c>
      <c r="AB46" s="63"/>
      <c r="AC46" s="63"/>
      <c r="AD46" s="63"/>
      <c r="AE46" s="213">
        <f>IF(AC36,O36/AC36,"n/a")</f>
        <v>0.5493300985133246</v>
      </c>
      <c r="AF46" s="214"/>
      <c r="AI46" s="256" t="s">
        <v>119</v>
      </c>
      <c r="AJ46" s="257"/>
      <c r="AK46" s="257"/>
      <c r="AL46" s="258"/>
    </row>
    <row r="47" spans="3:38" ht="11.25">
      <c r="C47" s="95" t="s">
        <v>42</v>
      </c>
      <c r="D47" s="95"/>
      <c r="E47" s="42"/>
      <c r="F47" s="42"/>
      <c r="G47" s="42"/>
      <c r="H47" s="42"/>
      <c r="I47" s="42"/>
      <c r="J47" s="42"/>
      <c r="K47" s="246">
        <f>K43-K44-K45-K46</f>
        <v>71687</v>
      </c>
      <c r="L47" s="247"/>
      <c r="O47" s="98" t="s">
        <v>50</v>
      </c>
      <c r="P47" s="42"/>
      <c r="Q47" s="42"/>
      <c r="R47" s="42"/>
      <c r="S47" s="42"/>
      <c r="T47" s="42"/>
      <c r="U47" s="42"/>
      <c r="V47" s="42"/>
      <c r="W47" s="183">
        <f>K48</f>
        <v>45000</v>
      </c>
      <c r="X47" s="184"/>
      <c r="AA47" s="76" t="s">
        <v>115</v>
      </c>
      <c r="AB47" s="69"/>
      <c r="AC47" s="69"/>
      <c r="AD47" s="254">
        <f>IF(AC36,O36-AC36,"n/a")</f>
        <v>-248544</v>
      </c>
      <c r="AE47" s="254"/>
      <c r="AF47" s="255"/>
      <c r="AI47" s="259"/>
      <c r="AJ47" s="260"/>
      <c r="AK47" s="260"/>
      <c r="AL47" s="261"/>
    </row>
    <row r="48" spans="3:38" ht="11.25">
      <c r="C48" s="93" t="s">
        <v>37</v>
      </c>
      <c r="D48" s="93"/>
      <c r="E48" s="94"/>
      <c r="F48" s="94"/>
      <c r="G48" s="94"/>
      <c r="H48" s="94"/>
      <c r="I48" s="94"/>
      <c r="J48" s="94"/>
      <c r="K48" s="234">
        <v>45000</v>
      </c>
      <c r="L48" s="235"/>
      <c r="O48" s="98" t="s">
        <v>47</v>
      </c>
      <c r="P48" s="42"/>
      <c r="Q48" s="42"/>
      <c r="R48" s="42"/>
      <c r="S48" s="42"/>
      <c r="T48" s="42"/>
      <c r="U48" s="42"/>
      <c r="V48" s="42"/>
      <c r="W48" s="183">
        <f>K49</f>
        <v>20000</v>
      </c>
      <c r="X48" s="184"/>
      <c r="AA48" s="6"/>
      <c r="AB48" s="6"/>
      <c r="AC48" s="6"/>
      <c r="AD48" s="6"/>
      <c r="AE48" s="6"/>
      <c r="AF48" s="6"/>
      <c r="AI48" s="262"/>
      <c r="AJ48" s="263"/>
      <c r="AK48" s="263"/>
      <c r="AL48" s="264"/>
    </row>
    <row r="49" spans="3:32" ht="11.25">
      <c r="C49" s="91" t="s">
        <v>38</v>
      </c>
      <c r="D49" s="91"/>
      <c r="E49" s="92"/>
      <c r="F49" s="92"/>
      <c r="G49" s="92"/>
      <c r="H49" s="92"/>
      <c r="I49" s="92"/>
      <c r="J49" s="92"/>
      <c r="K49" s="187">
        <v>20000</v>
      </c>
      <c r="L49" s="188"/>
      <c r="O49" s="98" t="s">
        <v>48</v>
      </c>
      <c r="P49" s="42"/>
      <c r="Q49" s="42"/>
      <c r="R49" s="42"/>
      <c r="S49" s="42"/>
      <c r="T49" s="42"/>
      <c r="U49" s="42"/>
      <c r="V49" s="42"/>
      <c r="W49" s="185">
        <v>17436</v>
      </c>
      <c r="X49" s="186"/>
      <c r="AA49" s="193" t="s">
        <v>98</v>
      </c>
      <c r="AB49" s="194"/>
      <c r="AC49" s="194"/>
      <c r="AD49" s="194"/>
      <c r="AE49" s="194"/>
      <c r="AF49" s="195"/>
    </row>
    <row r="50" spans="15:32" ht="11.25">
      <c r="O50" s="98" t="s">
        <v>45</v>
      </c>
      <c r="P50" s="42"/>
      <c r="Q50" s="42"/>
      <c r="R50" s="42"/>
      <c r="S50" s="42"/>
      <c r="T50" s="42"/>
      <c r="U50" s="42"/>
      <c r="V50" s="42"/>
      <c r="W50" s="201">
        <v>71047</v>
      </c>
      <c r="X50" s="202"/>
      <c r="AA50" s="114" t="s">
        <v>116</v>
      </c>
      <c r="AB50" s="63"/>
      <c r="AC50" s="63"/>
      <c r="AD50" s="63"/>
      <c r="AE50" s="211">
        <f>IF(R30,AF30/R30,"n/a")</f>
        <v>0.6039351383631443</v>
      </c>
      <c r="AF50" s="212"/>
    </row>
    <row r="51" spans="3:32" ht="11.25">
      <c r="C51" s="225" t="s">
        <v>76</v>
      </c>
      <c r="D51" s="226"/>
      <c r="E51" s="226"/>
      <c r="F51" s="226"/>
      <c r="G51" s="226"/>
      <c r="H51" s="226"/>
      <c r="I51" s="226"/>
      <c r="J51" s="226"/>
      <c r="K51" s="226"/>
      <c r="L51" s="227"/>
      <c r="O51" s="95" t="s">
        <v>39</v>
      </c>
      <c r="P51" s="42"/>
      <c r="Q51" s="42"/>
      <c r="R51" s="42"/>
      <c r="S51" s="42"/>
      <c r="T51" s="42"/>
      <c r="U51" s="42"/>
      <c r="V51" s="42"/>
      <c r="W51" s="183">
        <f>W45+W46-W47-W48-W49+W50</f>
        <v>178664</v>
      </c>
      <c r="X51" s="184"/>
      <c r="AA51" s="114" t="s">
        <v>117</v>
      </c>
      <c r="AB51" s="63"/>
      <c r="AC51" s="63"/>
      <c r="AD51" s="63"/>
      <c r="AE51" s="211">
        <f>IF(R30,Y30/R30,"n/a")</f>
        <v>0.3960648616368557</v>
      </c>
      <c r="AF51" s="212"/>
    </row>
    <row r="52" spans="3:32" ht="11.25">
      <c r="C52" s="95" t="s">
        <v>33</v>
      </c>
      <c r="D52" s="95"/>
      <c r="E52" s="42"/>
      <c r="F52" s="42"/>
      <c r="G52" s="42"/>
      <c r="H52" s="42"/>
      <c r="I52" s="42"/>
      <c r="J52" s="42"/>
      <c r="K52" s="232">
        <f>IF(K43,K44/K43,"n/a")</f>
        <v>0.5943286459891626</v>
      </c>
      <c r="L52" s="233"/>
      <c r="O52" s="98" t="s">
        <v>46</v>
      </c>
      <c r="P52" s="42"/>
      <c r="Q52" s="42"/>
      <c r="R52" s="42"/>
      <c r="S52" s="42"/>
      <c r="T52" s="42"/>
      <c r="U52" s="42"/>
      <c r="V52" s="42"/>
      <c r="W52" s="185">
        <v>124100</v>
      </c>
      <c r="X52" s="186"/>
      <c r="AA52" s="76" t="s">
        <v>118</v>
      </c>
      <c r="AB52" s="69"/>
      <c r="AC52" s="69"/>
      <c r="AD52" s="69"/>
      <c r="AE52" s="209">
        <f>IF(Y30,AF30/Y30,"n/a")</f>
        <v>1.5248389767958783</v>
      </c>
      <c r="AF52" s="210"/>
    </row>
    <row r="53" spans="3:24" ht="11.25">
      <c r="C53" s="95" t="s">
        <v>30</v>
      </c>
      <c r="D53" s="95"/>
      <c r="E53" s="42"/>
      <c r="F53" s="42"/>
      <c r="G53" s="42"/>
      <c r="H53" s="42"/>
      <c r="I53" s="42"/>
      <c r="J53" s="42"/>
      <c r="K53" s="232">
        <f>IF(K43,K45/K43,"n/a")</f>
        <v>0.17885950358275082</v>
      </c>
      <c r="L53" s="233"/>
      <c r="O53" s="98" t="s">
        <v>49</v>
      </c>
      <c r="P53" s="42"/>
      <c r="Q53" s="42"/>
      <c r="R53" s="42"/>
      <c r="S53" s="42"/>
      <c r="T53" s="42"/>
      <c r="U53" s="42"/>
      <c r="V53" s="42"/>
      <c r="W53" s="205">
        <f>W50</f>
        <v>71047</v>
      </c>
      <c r="X53" s="206"/>
    </row>
    <row r="54" spans="3:38" ht="11.25">
      <c r="C54" s="95" t="s">
        <v>34</v>
      </c>
      <c r="D54" s="95"/>
      <c r="E54" s="42"/>
      <c r="F54" s="42"/>
      <c r="G54" s="42"/>
      <c r="H54" s="42"/>
      <c r="I54" s="42"/>
      <c r="J54" s="42"/>
      <c r="K54" s="232">
        <f>IF(K43,K46/K43,"n/a")</f>
        <v>0.11848765907806498</v>
      </c>
      <c r="L54" s="233"/>
      <c r="O54" s="100" t="s">
        <v>43</v>
      </c>
      <c r="P54" s="101"/>
      <c r="Q54" s="101"/>
      <c r="R54" s="101"/>
      <c r="S54" s="101"/>
      <c r="T54" s="101"/>
      <c r="U54" s="101"/>
      <c r="V54" s="101"/>
      <c r="W54" s="207">
        <f>W51-W52-W53</f>
        <v>-16483</v>
      </c>
      <c r="X54" s="208"/>
      <c r="AE54" s="113" t="s">
        <v>51</v>
      </c>
      <c r="AF54" s="99" t="s">
        <v>86</v>
      </c>
      <c r="AK54" s="83"/>
      <c r="AL54" s="83"/>
    </row>
    <row r="55" spans="3:35" s="83" customFormat="1" ht="11.25">
      <c r="C55" s="100" t="s">
        <v>35</v>
      </c>
      <c r="D55" s="100"/>
      <c r="E55" s="101"/>
      <c r="F55" s="101"/>
      <c r="G55" s="101"/>
      <c r="H55" s="101"/>
      <c r="I55" s="101"/>
      <c r="J55" s="101"/>
      <c r="K55" s="230">
        <f>IF(K47,K47/K43,"n/a")</f>
        <v>0.10832419135002161</v>
      </c>
      <c r="L55" s="231"/>
      <c r="M55" s="40"/>
      <c r="N55" s="40"/>
      <c r="O55" s="115" t="s">
        <v>120</v>
      </c>
      <c r="P55" s="116"/>
      <c r="Q55" s="116"/>
      <c r="R55" s="116"/>
      <c r="S55" s="116"/>
      <c r="T55" s="116"/>
      <c r="U55" s="116"/>
      <c r="V55" s="116"/>
      <c r="W55" s="198">
        <f>IF((W52+W53),W51/(W52+W53),"n/a")</f>
        <v>0.9155354681342782</v>
      </c>
      <c r="X55" s="199"/>
      <c r="AE55" s="117" t="s">
        <v>51</v>
      </c>
      <c r="AF55" s="99" t="s">
        <v>87</v>
      </c>
      <c r="AG55" s="40"/>
      <c r="AH55" s="40"/>
      <c r="AI55" s="40"/>
    </row>
    <row r="56" spans="3:38" s="83" customFormat="1" ht="11.25">
      <c r="C56" s="40"/>
      <c r="D56" s="40"/>
      <c r="E56" s="40"/>
      <c r="F56" s="40"/>
      <c r="G56" s="40"/>
      <c r="H56" s="40"/>
      <c r="I56" s="40"/>
      <c r="J56" s="40"/>
      <c r="K56" s="40"/>
      <c r="L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AE56" s="200" t="s">
        <v>89</v>
      </c>
      <c r="AF56" s="200"/>
      <c r="AG56" s="200"/>
      <c r="AH56" s="200"/>
      <c r="AI56" s="200"/>
      <c r="AJ56" s="200"/>
      <c r="AK56" s="200"/>
      <c r="AL56" s="200"/>
    </row>
  </sheetData>
  <sheetProtection/>
  <mergeCells count="141">
    <mergeCell ref="AA49:AF49"/>
    <mergeCell ref="AI46:AL48"/>
    <mergeCell ref="AI45:AL45"/>
    <mergeCell ref="S34:T35"/>
    <mergeCell ref="AK37:AL37"/>
    <mergeCell ref="AG34:AH35"/>
    <mergeCell ref="AI33:AL35"/>
    <mergeCell ref="AI36:AL36"/>
    <mergeCell ref="AE42:AF42"/>
    <mergeCell ref="AE41:AF41"/>
    <mergeCell ref="U36:X36"/>
    <mergeCell ref="N24:Q24"/>
    <mergeCell ref="AD47:AF47"/>
    <mergeCell ref="W46:X46"/>
    <mergeCell ref="W47:X47"/>
    <mergeCell ref="AE40:AF40"/>
    <mergeCell ref="W37:X37"/>
    <mergeCell ref="AE37:AF37"/>
    <mergeCell ref="AC33:AF35"/>
    <mergeCell ref="AC36:AF36"/>
    <mergeCell ref="Y30:AB30"/>
    <mergeCell ref="N3:Q5"/>
    <mergeCell ref="N6:Q6"/>
    <mergeCell ref="N9:Q11"/>
    <mergeCell ref="O36:R36"/>
    <mergeCell ref="R27:U29"/>
    <mergeCell ref="O28:P29"/>
    <mergeCell ref="O33:R35"/>
    <mergeCell ref="U33:X35"/>
    <mergeCell ref="AK39:AL39"/>
    <mergeCell ref="Q38:R38"/>
    <mergeCell ref="W38:X38"/>
    <mergeCell ref="AE38:AF38"/>
    <mergeCell ref="AK38:AL38"/>
    <mergeCell ref="Q39:R39"/>
    <mergeCell ref="W39:X39"/>
    <mergeCell ref="AE39:AF39"/>
    <mergeCell ref="K42:L42"/>
    <mergeCell ref="G40:H40"/>
    <mergeCell ref="G41:H41"/>
    <mergeCell ref="AK40:AL40"/>
    <mergeCell ref="Q41:R41"/>
    <mergeCell ref="W41:X41"/>
    <mergeCell ref="AK41:AL41"/>
    <mergeCell ref="Q42:R42"/>
    <mergeCell ref="E34:F34"/>
    <mergeCell ref="E35:F35"/>
    <mergeCell ref="G35:H35"/>
    <mergeCell ref="K35:L35"/>
    <mergeCell ref="G37:H37"/>
    <mergeCell ref="K37:L37"/>
    <mergeCell ref="C34:D34"/>
    <mergeCell ref="K47:L47"/>
    <mergeCell ref="E38:F38"/>
    <mergeCell ref="I38:J38"/>
    <mergeCell ref="K38:L38"/>
    <mergeCell ref="I39:J39"/>
    <mergeCell ref="C36:D36"/>
    <mergeCell ref="C35:D35"/>
    <mergeCell ref="G34:H34"/>
    <mergeCell ref="K34:L34"/>
    <mergeCell ref="E40:F40"/>
    <mergeCell ref="K40:L40"/>
    <mergeCell ref="K39:L39"/>
    <mergeCell ref="G39:H39"/>
    <mergeCell ref="G36:H36"/>
    <mergeCell ref="K36:L36"/>
    <mergeCell ref="G38:H38"/>
    <mergeCell ref="C37:D37"/>
    <mergeCell ref="E37:F37"/>
    <mergeCell ref="C38:D38"/>
    <mergeCell ref="C39:D39"/>
    <mergeCell ref="E36:F36"/>
    <mergeCell ref="K46:L46"/>
    <mergeCell ref="K45:L45"/>
    <mergeCell ref="K43:L43"/>
    <mergeCell ref="I40:J40"/>
    <mergeCell ref="E39:F39"/>
    <mergeCell ref="C41:D41"/>
    <mergeCell ref="K55:L55"/>
    <mergeCell ref="K53:L53"/>
    <mergeCell ref="K54:L54"/>
    <mergeCell ref="K52:L52"/>
    <mergeCell ref="K48:L48"/>
    <mergeCell ref="E41:F41"/>
    <mergeCell ref="I41:J41"/>
    <mergeCell ref="K41:L41"/>
    <mergeCell ref="C51:L51"/>
    <mergeCell ref="W51:X51"/>
    <mergeCell ref="W42:X42"/>
    <mergeCell ref="Y27:AB29"/>
    <mergeCell ref="W40:X40"/>
    <mergeCell ref="AA45:AF45"/>
    <mergeCell ref="AF30:AI30"/>
    <mergeCell ref="O44:X44"/>
    <mergeCell ref="AE50:AF50"/>
    <mergeCell ref="Q37:R37"/>
    <mergeCell ref="R30:U30"/>
    <mergeCell ref="F9:I11"/>
    <mergeCell ref="F12:I12"/>
    <mergeCell ref="S10:T11"/>
    <mergeCell ref="K10:L11"/>
    <mergeCell ref="V9:Y11"/>
    <mergeCell ref="V12:Y12"/>
    <mergeCell ref="N12:Q12"/>
    <mergeCell ref="J15:M17"/>
    <mergeCell ref="J18:M18"/>
    <mergeCell ref="K22:L23"/>
    <mergeCell ref="R15:U17"/>
    <mergeCell ref="R18:U18"/>
    <mergeCell ref="O16:P17"/>
    <mergeCell ref="N21:Q23"/>
    <mergeCell ref="B27:E29"/>
    <mergeCell ref="AD21:AG23"/>
    <mergeCell ref="AD24:AG24"/>
    <mergeCell ref="AF27:AI29"/>
    <mergeCell ref="J27:M29"/>
    <mergeCell ref="AC28:AE29"/>
    <mergeCell ref="F21:I23"/>
    <mergeCell ref="F24:I24"/>
    <mergeCell ref="G28:H29"/>
    <mergeCell ref="W55:X55"/>
    <mergeCell ref="AE56:AL56"/>
    <mergeCell ref="W50:X50"/>
    <mergeCell ref="AK42:AL42"/>
    <mergeCell ref="W53:X53"/>
    <mergeCell ref="W52:X52"/>
    <mergeCell ref="W54:X54"/>
    <mergeCell ref="AE52:AF52"/>
    <mergeCell ref="AE51:AF51"/>
    <mergeCell ref="AE46:AF46"/>
    <mergeCell ref="J30:M30"/>
    <mergeCell ref="K44:L44"/>
    <mergeCell ref="W48:X48"/>
    <mergeCell ref="W49:X49"/>
    <mergeCell ref="K49:L49"/>
    <mergeCell ref="W45:X45"/>
    <mergeCell ref="Q40:R40"/>
    <mergeCell ref="C33:L33"/>
    <mergeCell ref="B30:E30"/>
    <mergeCell ref="C40:D40"/>
  </mergeCells>
  <hyperlinks>
    <hyperlink ref="AE56" location="DuPontA!A1" display="View Simplified Du Pont Model"/>
    <hyperlink ref="AE56:AL56" location="Simple!A1" display="View Simplified Du Pont Model"/>
  </hyperlinks>
  <printOptions horizontalCentered="1"/>
  <pageMargins left="0.25" right="0.25" top="0.5" bottom="0.5" header="0.25" footer="0.25"/>
  <pageSetup fitToHeight="1" fitToWidth="1" horizontalDpi="600" verticalDpi="600" orientation="landscape" scale="76" r:id="rId3"/>
  <headerFooter alignWithMargins="0">
    <oddFooter>&amp;L&amp;G
Copyright 1993-05&amp;R&amp;D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Centrec Consulting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 Pont Financial Analysis</dc:title>
  <dc:subject/>
  <dc:creator>Todd A. Doehring</dc:creator>
  <cp:keywords/>
  <dc:description/>
  <cp:lastModifiedBy>Dwittman</cp:lastModifiedBy>
  <cp:lastPrinted>2018-01-25T18:38:58Z</cp:lastPrinted>
  <dcterms:created xsi:type="dcterms:W3CDTF">1998-09-03T01:57:28Z</dcterms:created>
  <dcterms:modified xsi:type="dcterms:W3CDTF">2020-12-03T14:31:14Z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